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7"/>
  </bookViews>
  <sheets>
    <sheet name="Es.1" sheetId="1" r:id="rId1"/>
    <sheet name="Es. 2" sheetId="2" r:id="rId2"/>
    <sheet name="Es.3" sheetId="3" r:id="rId3"/>
    <sheet name="Es.4" sheetId="4" r:id="rId4"/>
    <sheet name="Es.5" sheetId="5" r:id="rId5"/>
    <sheet name="Es.6" sheetId="6" r:id="rId6"/>
    <sheet name="Es.7" sheetId="7" r:id="rId7"/>
    <sheet name="Es.8" sheetId="8" r:id="rId8"/>
  </sheets>
  <definedNames>
    <definedName name="_xlnm.Print_Area" localSheetId="0">'Es.1'!$A$1:$M$99</definedName>
  </definedNames>
  <calcPr fullCalcOnLoad="1"/>
</workbook>
</file>

<file path=xl/sharedStrings.xml><?xml version="1.0" encoding="utf-8"?>
<sst xmlns="http://schemas.openxmlformats.org/spreadsheetml/2006/main" count="474" uniqueCount="297">
  <si>
    <t xml:space="preserve">Esercizio n.1 </t>
  </si>
  <si>
    <t>Una gas perfetto compie il ciclo termodinamico quello indicato in figura. Determinare, per ognuna delle trasformazioni e per l'intero ciclo:</t>
  </si>
  <si>
    <t>a)</t>
  </si>
  <si>
    <t>il lavoro scambiato L</t>
  </si>
  <si>
    <t>b)</t>
  </si>
  <si>
    <r>
      <t xml:space="preserve">la variazione di energia interna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</si>
  <si>
    <t>c)</t>
  </si>
  <si>
    <r>
      <t xml:space="preserve">la variazione di entalpia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 xml:space="preserve">H nella trasformazione </t>
    </r>
    <r>
      <rPr>
        <b/>
        <i/>
        <sz val="12"/>
        <color indexed="8"/>
        <rFont val="Times New Roman"/>
        <family val="1"/>
      </rPr>
      <t>ab</t>
    </r>
    <r>
      <rPr>
        <sz val="12"/>
        <color indexed="8"/>
        <rFont val="Times New Roman"/>
        <family val="1"/>
      </rPr>
      <t xml:space="preserve"> e nella trasformazione </t>
    </r>
    <r>
      <rPr>
        <b/>
        <i/>
        <sz val="12"/>
        <color indexed="8"/>
        <rFont val="Times New Roman"/>
        <family val="1"/>
      </rPr>
      <t>bc</t>
    </r>
  </si>
  <si>
    <t>sapendo che il calore introdotto nel ciclo Q è il seguente:</t>
  </si>
  <si>
    <t>tratto a-b</t>
  </si>
  <si>
    <t>J</t>
  </si>
  <si>
    <t>tratto c-b</t>
  </si>
  <si>
    <t>tratto c-a</t>
  </si>
  <si>
    <t>DATI</t>
  </si>
  <si>
    <r>
      <t>Q</t>
    </r>
    <r>
      <rPr>
        <vertAlign val="subscript"/>
        <sz val="12"/>
        <color indexed="8"/>
        <rFont val="Times New Roman"/>
        <family val="1"/>
      </rPr>
      <t>a-b</t>
    </r>
  </si>
  <si>
    <r>
      <t>Q</t>
    </r>
    <r>
      <rPr>
        <vertAlign val="subscript"/>
        <sz val="12"/>
        <color indexed="8"/>
        <rFont val="Times New Roman"/>
        <family val="1"/>
      </rPr>
      <t>b-c</t>
    </r>
  </si>
  <si>
    <r>
      <t>Q</t>
    </r>
    <r>
      <rPr>
        <vertAlign val="subscript"/>
        <sz val="12"/>
        <color indexed="8"/>
        <rFont val="Times New Roman"/>
        <family val="1"/>
      </rPr>
      <t>c-a</t>
    </r>
  </si>
  <si>
    <r>
      <t>p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 = p</t>
    </r>
    <r>
      <rPr>
        <vertAlign val="subscript"/>
        <sz val="12"/>
        <color indexed="8"/>
        <rFont val="Times New Roman"/>
        <family val="1"/>
      </rPr>
      <t>c</t>
    </r>
  </si>
  <si>
    <t>bar</t>
  </si>
  <si>
    <r>
      <t>p</t>
    </r>
    <r>
      <rPr>
        <vertAlign val="subscript"/>
        <sz val="12"/>
        <color indexed="8"/>
        <rFont val="Times New Roman"/>
        <family val="1"/>
      </rPr>
      <t xml:space="preserve">a </t>
    </r>
  </si>
  <si>
    <r>
      <t>V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c</t>
    </r>
  </si>
  <si>
    <t>l</t>
  </si>
  <si>
    <r>
      <t>V</t>
    </r>
    <r>
      <rPr>
        <vertAlign val="subscript"/>
        <sz val="12"/>
        <color indexed="8"/>
        <rFont val="Times New Roman"/>
        <family val="1"/>
      </rPr>
      <t>b</t>
    </r>
  </si>
  <si>
    <t>Svolgimento</t>
  </si>
  <si>
    <t>Si determinano le pressioni ed i volumi nei punti a, b e c con unità di misura del Sistema Internazionale</t>
  </si>
  <si>
    <t>Pressioni</t>
  </si>
  <si>
    <t>Pa</t>
  </si>
  <si>
    <t>ricordando che 1 bar = 100000 Pa</t>
  </si>
  <si>
    <t>Volumi</t>
  </si>
  <si>
    <r>
      <t>m</t>
    </r>
    <r>
      <rPr>
        <vertAlign val="superscript"/>
        <sz val="12"/>
        <color indexed="8"/>
        <rFont val="Calibri"/>
        <family val="2"/>
      </rPr>
      <t>3</t>
    </r>
  </si>
  <si>
    <t>ricordando che 1 litro = 1000  m3</t>
  </si>
  <si>
    <t>Trasformazione a-b</t>
  </si>
  <si>
    <t>Il lavoro L lungo la trasformazione a-b è rappresentato dall'area sottesa dal trapezio a-b-d-e-a e può essere calcolato con la relazione:</t>
  </si>
  <si>
    <r>
      <t>L</t>
    </r>
    <r>
      <rPr>
        <vertAlign val="subscript"/>
        <sz val="12"/>
        <color indexed="8"/>
        <rFont val="Times New Roman"/>
        <family val="1"/>
      </rPr>
      <t>a-b</t>
    </r>
    <r>
      <rPr>
        <sz val="12"/>
        <color indexed="8"/>
        <rFont val="Times New Roman"/>
        <family val="1"/>
      </rPr>
      <t xml:space="preserve"> = (p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+ p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) * (Vb - Va) / 2</t>
    </r>
  </si>
  <si>
    <t>quindi:</t>
  </si>
  <si>
    <r>
      <t>L</t>
    </r>
    <r>
      <rPr>
        <vertAlign val="subscript"/>
        <sz val="12"/>
        <color indexed="8"/>
        <rFont val="Times New Roman"/>
        <family val="1"/>
      </rPr>
      <t>a-b</t>
    </r>
    <r>
      <rPr>
        <sz val="12"/>
        <color indexed="8"/>
        <rFont val="Times New Roman"/>
        <family val="1"/>
      </rPr>
      <t xml:space="preserve"> = (200000 + 100000) * (0,001-0,003) / 2 = </t>
    </r>
  </si>
  <si>
    <t>L &gt; 0</t>
  </si>
  <si>
    <t xml:space="preserve">Il valore trovato risulta positivo, essendo Vf &gt; Vi, ossia Vb &lt; Va, il sistema si espande </t>
  </si>
  <si>
    <t>Nel tratto a-b viene fornita al sistema una quantità di calore Qa-b pari a 800 J.</t>
  </si>
  <si>
    <t>Applicando l'espressione generale del Primo Principio della Termodinamica:</t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</si>
  <si>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= Q - L</t>
    </r>
  </si>
  <si>
    <t xml:space="preserve">la variazione di energia interna è: 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</si>
  <si>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a-b</t>
    </r>
  </si>
  <si>
    <t>Ricordando che l'entalpia H = U+pV, la variazione di entalpia nella trasformazione a-b si calcola con la seguente espressione: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</si>
  <si>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H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+ p</t>
    </r>
    <r>
      <rPr>
        <b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- p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 </t>
    </r>
  </si>
  <si>
    <t>Trasformazione b-c</t>
  </si>
  <si>
    <t>Il lavoro L lungo la trasformazione b-c è rappresentato dall'area sottesa dal rettangolo b-d-e-c e può essere calcolato con la relazione:</t>
  </si>
  <si>
    <r>
      <t>L</t>
    </r>
    <r>
      <rPr>
        <vertAlign val="subscript"/>
        <sz val="12"/>
        <color indexed="8"/>
        <rFont val="Times New Roman"/>
        <family val="1"/>
      </rPr>
      <t>b-c</t>
    </r>
    <r>
      <rPr>
        <sz val="12"/>
        <color indexed="8"/>
        <rFont val="Times New Roman"/>
        <family val="1"/>
      </rPr>
      <t xml:space="preserve"> =  p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 * (Vc - Vb) </t>
    </r>
  </si>
  <si>
    <t>L&lt;0</t>
  </si>
  <si>
    <t xml:space="preserve">Il valore trovato risulta negativo, essendo Vf &lt; Vi, ossia Vc &lt; Vb, il sistema si comprime </t>
  </si>
  <si>
    <t>Nel tratto b-c il sistema cede una quantità di calore Qb-c pari a -950 J.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</si>
  <si>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b-a</t>
    </r>
  </si>
  <si>
    <t>La variazione di entalpia nella trasformazione b-c è: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</si>
  <si>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H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+ p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 xml:space="preserve"> - p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 </t>
    </r>
  </si>
  <si>
    <t>Trasformazione c-a</t>
  </si>
  <si>
    <t>Il lavoro L lungo la trasformazione c-a è nullo, essendo nulla la variazione di volume (Vc=Va)</t>
  </si>
  <si>
    <t>Nel tratto c-a il sistema assorbe una quantità di calore Qc-a pari a 250 J.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</si>
  <si>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c-a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c-a</t>
    </r>
    <r>
      <rPr>
        <b/>
        <sz val="12"/>
        <color indexed="8"/>
        <rFont val="Times New Roman"/>
        <family val="1"/>
      </rPr>
      <t xml:space="preserve"> </t>
    </r>
  </si>
  <si>
    <t>Ciclo</t>
  </si>
  <si>
    <t>Il bilancio del ciclo in esame risulta pertanto il seguente:</t>
  </si>
  <si>
    <t>Trasformazione</t>
  </si>
  <si>
    <r>
      <t>D</t>
    </r>
    <r>
      <rPr>
        <i/>
        <sz val="12"/>
        <color indexed="8"/>
        <rFont val="Times New Roman"/>
        <family val="1"/>
      </rPr>
      <t>U</t>
    </r>
  </si>
  <si>
    <t>Q</t>
  </si>
  <si>
    <t>L</t>
  </si>
  <si>
    <t>a-b</t>
  </si>
  <si>
    <t>b-c</t>
  </si>
  <si>
    <t>c-d</t>
  </si>
  <si>
    <t>ciclo a-b-c-d</t>
  </si>
  <si>
    <t>Esercizio n.2</t>
  </si>
  <si>
    <t xml:space="preserve">Un serbatoio rigido contiene un liquido caldo che viene agitato da un agitatore a palette. L’energia interna del liquido è inizialmente 800kJ. </t>
  </si>
  <si>
    <t>Durante il raffreddamento il liquido cede 500 kJ di calore e l’agitatore compie 100 kJ di lavoro sul liquido. Qual è l’energia interna finale del liquido?</t>
  </si>
  <si>
    <t xml:space="preserve">Nell’ipotesi in cui, cessato il funzionamento dell’agitatore, il liquido torni al valore iniziale di energia interna, quanto calore deve assorbire? </t>
  </si>
  <si>
    <t>Si trascuri l’energia immagazzinata dall’agitatore.</t>
  </si>
  <si>
    <t>kJ</t>
  </si>
  <si>
    <t>Dal Primo Principio della Termodinamica ricavo l'energia interna finale del liquido:</t>
  </si>
  <si>
    <t>Uf  - Ui = Q- L</t>
  </si>
  <si>
    <t>da cui</t>
  </si>
  <si>
    <t>Uf = Ui + Q - L</t>
  </si>
  <si>
    <t>quindi</t>
  </si>
  <si>
    <t xml:space="preserve">Inoltre l'agitatore ha smesso di funzionare, quindi non c'è alcun lavoro meccanico. Inoltre, essendo  il sistema a pareti rigide e fisse, non c'è lavoro di variazione di </t>
  </si>
  <si>
    <t>volume, pertanto L = 0:</t>
  </si>
  <si>
    <t>L = 0</t>
  </si>
  <si>
    <t>Dal Primo Principio della Termodinamica, con L = 0, ricavo il calore assorbito:</t>
  </si>
  <si>
    <t>Q'=</t>
  </si>
  <si>
    <t>Esercizio n.3</t>
  </si>
  <si>
    <t xml:space="preserve">Un sistema chiuso compie un ciclo costituito da due trasformazioni. Durante la prima trasformazione (1) il sistema assorbe 100 kJ sotto forma di calore e compie lavoro pari a 60 kJ. </t>
  </si>
  <si>
    <t>Durante la seconda trasformazione (2) sul sistema si compie lavoro pari -71 kJ. Calcolare:</t>
  </si>
  <si>
    <t>Il calore trasferito durante la seconda trasformazione.</t>
  </si>
  <si>
    <t>Il lavoro netto del ciclo</t>
  </si>
  <si>
    <t>Il trasferimento netto di calore del ciclo.</t>
  </si>
  <si>
    <r>
      <t>Q</t>
    </r>
    <r>
      <rPr>
        <vertAlign val="subscript"/>
        <sz val="11"/>
        <color indexed="8"/>
        <rFont val="Calibri"/>
        <family val="2"/>
      </rPr>
      <t>1</t>
    </r>
  </si>
  <si>
    <r>
      <t>L</t>
    </r>
    <r>
      <rPr>
        <vertAlign val="subscript"/>
        <sz val="11"/>
        <color indexed="8"/>
        <rFont val="Calibri"/>
        <family val="2"/>
      </rPr>
      <t>1</t>
    </r>
  </si>
  <si>
    <r>
      <t>L</t>
    </r>
    <r>
      <rPr>
        <vertAlign val="subscript"/>
        <sz val="11"/>
        <color indexed="8"/>
        <rFont val="Calibri"/>
        <family val="2"/>
      </rPr>
      <t>2</t>
    </r>
  </si>
  <si>
    <t>Dal Primo Principio della Termodinamica ricavo la variazione di energia interna del sistema relativa alla trasformazione 1 del ciclo è: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</si>
  <si>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1</t>
    </r>
  </si>
  <si>
    <t>Quindi nella trasformazione 2, dovendo l'energia interna finale essere uguale a quella iniziale, ossia essendo nulla la variazione di energia interna del ciclo, si ha: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</si>
  <si>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+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>= 0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</si>
  <si>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=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 xml:space="preserve">1 </t>
    </r>
  </si>
  <si>
    <t>Dal Primo Principio della Termodinamica, noto L2, ricavo Q2:</t>
  </si>
  <si>
    <r>
      <t>Q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</t>
    </r>
  </si>
  <si>
    <t xml:space="preserve">ciclo </t>
  </si>
  <si>
    <t>Il calore netto trasferito durante il ciclo è</t>
  </si>
  <si>
    <r>
      <t>Q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+ Q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</t>
    </r>
  </si>
  <si>
    <t>Il lavoro netto trasferito durante il ciclo è</t>
  </si>
  <si>
    <r>
      <t>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L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</t>
    </r>
  </si>
  <si>
    <t>Esercizio n.4</t>
  </si>
  <si>
    <t xml:space="preserve">Un sistema chiuso compie un ciclo costituita da due trasformazioni. Durante la prima trasformazione il sistema assorbe 40 kJ sotto forma di calore e compie lavoro pari a 60 kJ. </t>
  </si>
  <si>
    <t>Durante la seconda trasformazione sul sistema si compie lavoro pari 45 kJ. Calcolare:</t>
  </si>
  <si>
    <t>Esercizio n.5</t>
  </si>
  <si>
    <r>
      <t>nell’ipotesi di trascurare il calore disperso verso l’ambiente esterno. Si ricorda che per l’acqua la densità è 1000 kg/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e il calore specifico è 4,2 kJ/kgK.</t>
    </r>
  </si>
  <si>
    <t>Va</t>
  </si>
  <si>
    <t>litri</t>
  </si>
  <si>
    <r>
      <t>m</t>
    </r>
    <r>
      <rPr>
        <vertAlign val="superscript"/>
        <sz val="11"/>
        <color indexed="8"/>
        <rFont val="Calibri"/>
        <family val="2"/>
      </rPr>
      <t>3</t>
    </r>
  </si>
  <si>
    <t>°C</t>
  </si>
  <si>
    <r>
      <t>r</t>
    </r>
    <r>
      <rPr>
        <vertAlign val="subscript"/>
        <sz val="11"/>
        <color indexed="8"/>
        <rFont val="Times New Roman"/>
        <family val="1"/>
      </rPr>
      <t>a</t>
    </r>
  </si>
  <si>
    <t>kJ/kgK</t>
  </si>
  <si>
    <t>D</t>
  </si>
  <si>
    <t>cm</t>
  </si>
  <si>
    <t>m</t>
  </si>
  <si>
    <t>H</t>
  </si>
  <si>
    <r>
      <t>r</t>
    </r>
    <r>
      <rPr>
        <vertAlign val="subscript"/>
        <sz val="11"/>
        <color indexed="8"/>
        <rFont val="Times New Roman"/>
        <family val="1"/>
      </rPr>
      <t>M</t>
    </r>
  </si>
  <si>
    <t>J/kgK</t>
  </si>
  <si>
    <t>Calcolo il volume del cilindro metallico immerso nell'acqua:</t>
  </si>
  <si>
    <t>La massa del cilindro è quindi:</t>
  </si>
  <si>
    <t>kg</t>
  </si>
  <si>
    <t>La massa dell'acqua è:</t>
  </si>
  <si>
    <t>componenti del sistema (acqua e metallo), occorre partire dal Primo Principio della Termodinamica</t>
  </si>
  <si>
    <t xml:space="preserve">Poiché sono nulli sia il calore disperso verso l’ambiente esterno per ipotesi, sia il lavoro perché il </t>
  </si>
  <si>
    <t xml:space="preserve">recipiente chiuso è a pareti rigide e fisse, allora anche la variazione di energia interna è nulla. Quindi: </t>
  </si>
  <si>
    <t>Esplicitando l'energia interna si ha:</t>
  </si>
  <si>
    <t>Esercizio n.6</t>
  </si>
  <si>
    <t>Un recipiente chiuso a pareti rigide e fisse contiene 1500 l di acqua allo stato liquido alla temperatura di 60°C. Nel recipiente viene successivamente immerso un corpo cilindrico di metallo</t>
  </si>
  <si>
    <t xml:space="preserve"> (diametro D = 50 cm e altezza H= 65 cm) alla temperatura di 97°C, avente densità 5500 kg/m3 e calore specifico 950 J/kgK. Determinare la temperatura dell’acqua e del metallo all’equilibrio, </t>
  </si>
  <si>
    <r>
      <t>c</t>
    </r>
    <r>
      <rPr>
        <vertAlign val="subscript"/>
        <sz val="11"/>
        <color indexed="8"/>
        <rFont val="Times New Roman"/>
        <family val="1"/>
      </rPr>
      <t>M</t>
    </r>
  </si>
  <si>
    <r>
      <t>Una massa di 7,2 kg di gas perfetto (aria secca c</t>
    </r>
    <r>
      <rPr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 = 717 J/kgK; c</t>
    </r>
    <r>
      <rPr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 xml:space="preserve"> = 1005 J/kgK; R = 288 J/kgK) passa dallo stato 1 allo stato 2 </t>
    </r>
  </si>
  <si>
    <r>
      <t>lungo la trasformazione isoterma 1-2, passando dal volume 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100 litri a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300 litri. Se la pressione iniziale è 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60 atm, calcolare per la trasformazione 1-2:</t>
    </r>
  </si>
  <si>
    <r>
      <t>1)  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 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</t>
    </r>
  </si>
  <si>
    <r>
      <t>2)   Il lavoro L</t>
    </r>
    <r>
      <rPr>
        <vertAlign val="subscript"/>
        <sz val="12"/>
        <color indexed="8"/>
        <rFont val="Times New Roman"/>
        <family val="1"/>
      </rPr>
      <t>1,2</t>
    </r>
    <r>
      <rPr>
        <sz val="12"/>
        <color indexed="8"/>
        <rFont val="Times New Roman"/>
        <family val="1"/>
      </rPr>
      <t>, specificando se esso è di espansione o di compressione, e il lavoro specifico.</t>
    </r>
  </si>
  <si>
    <t>3)   La variazione di energia interna e il calore assorbito.</t>
  </si>
  <si>
    <t>4)   Il calore scambiato e la variazione di energia interna, specificando se il sistema si riscalda o si raffredda.</t>
  </si>
  <si>
    <t>Nella trasformazione 3-1, il sistema torna nello stato iniziale 1 a pressione costante. Calcolare:</t>
  </si>
  <si>
    <t>5) Il lavoro e il calore scambiati</t>
  </si>
  <si>
    <t>Inoltre:</t>
  </si>
  <si>
    <t>6)   Quanto valgono: il lavoro del ciclo, il calore scambiato e la variazione di energia interna</t>
  </si>
  <si>
    <t>Specificare se il sistema complessivamente si espande o si comprime e se si riscalda o si raffredda, spiegandone le motivazioni.</t>
  </si>
  <si>
    <t>R</t>
  </si>
  <si>
    <t>J/kg K</t>
  </si>
  <si>
    <r>
      <t>c</t>
    </r>
    <r>
      <rPr>
        <vertAlign val="subscript"/>
        <sz val="12"/>
        <color indexed="8"/>
        <rFont val="Times New Roman"/>
        <family val="1"/>
      </rPr>
      <t>v</t>
    </r>
  </si>
  <si>
    <t>kJ/kg K</t>
  </si>
  <si>
    <r>
      <t>c</t>
    </r>
    <r>
      <rPr>
        <vertAlign val="subscript"/>
        <sz val="12"/>
        <color indexed="8"/>
        <rFont val="Times New Roman"/>
        <family val="1"/>
      </rPr>
      <t>p</t>
    </r>
  </si>
  <si>
    <r>
      <t>p</t>
    </r>
    <r>
      <rPr>
        <vertAlign val="subscript"/>
        <sz val="12"/>
        <color indexed="8"/>
        <rFont val="Times New Roman"/>
        <family val="1"/>
      </rPr>
      <t>1</t>
    </r>
  </si>
  <si>
    <t>atm</t>
  </si>
  <si>
    <r>
      <t>V</t>
    </r>
    <r>
      <rPr>
        <vertAlign val="subscript"/>
        <sz val="12"/>
        <color indexed="8"/>
        <rFont val="Times New Roman"/>
        <family val="1"/>
      </rPr>
      <t>1</t>
    </r>
  </si>
  <si>
    <r>
      <t>V</t>
    </r>
    <r>
      <rPr>
        <vertAlign val="subscript"/>
        <sz val="12"/>
        <color indexed="8"/>
        <rFont val="Times New Roman"/>
        <family val="1"/>
      </rPr>
      <t>2</t>
    </r>
  </si>
  <si>
    <t>Trasformazione 1-2 isoterma</t>
  </si>
  <si>
    <t>1)</t>
  </si>
  <si>
    <t>La trasformazione 1-2 è isoterma, quindi</t>
  </si>
  <si>
    <r>
      <t>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T</t>
    </r>
    <r>
      <rPr>
        <vertAlign val="subscript"/>
        <sz val="12"/>
        <color indexed="8"/>
        <rFont val="Times New Roman"/>
        <family val="1"/>
      </rPr>
      <t>2</t>
    </r>
  </si>
  <si>
    <r>
      <t>Calcolo 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dall'equazione di stato dei gas ideali applicata allo stato 1:</t>
    </r>
  </si>
  <si>
    <r>
      <t>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mRT</t>
    </r>
    <r>
      <rPr>
        <vertAlign val="subscript"/>
        <sz val="12"/>
        <color indexed="8"/>
        <rFont val="Times New Roman"/>
        <family val="1"/>
      </rPr>
      <t>1</t>
    </r>
  </si>
  <si>
    <r>
      <t>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=p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/mR</t>
    </r>
  </si>
  <si>
    <t>K</t>
  </si>
  <si>
    <r>
      <t>Calcolo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dall'equazione di stato dei gas ideali applicata allo stato 2:</t>
    </r>
  </si>
  <si>
    <r>
      <t>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mRT</t>
    </r>
    <r>
      <rPr>
        <vertAlign val="subscript"/>
        <sz val="12"/>
        <color indexed="8"/>
        <rFont val="Times New Roman"/>
        <family val="1"/>
      </rPr>
      <t>2</t>
    </r>
  </si>
  <si>
    <r>
      <t>p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=</t>
    </r>
  </si>
  <si>
    <r>
      <t>mRT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/V</t>
    </r>
    <r>
      <rPr>
        <vertAlign val="subscript"/>
        <sz val="12"/>
        <color indexed="8"/>
        <rFont val="Calibri"/>
        <family val="2"/>
      </rPr>
      <t>2</t>
    </r>
  </si>
  <si>
    <t>2)</t>
  </si>
  <si>
    <t>Lavoro trasformazione isoterma</t>
  </si>
  <si>
    <t>3)</t>
  </si>
  <si>
    <t>Variazione di energia interna e calore assorbito.</t>
  </si>
  <si>
    <t>Siccome la trasformazione 1-2 è isoterma non c'è variazione di energia interna, quindi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</si>
  <si>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Q - L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</si>
  <si>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0</t>
    </r>
  </si>
  <si>
    <r>
      <t>Q</t>
    </r>
    <r>
      <rPr>
        <b/>
        <vertAlign val="subscript"/>
        <sz val="12"/>
        <color indexed="8"/>
        <rFont val="Times New Roman"/>
        <family val="1"/>
      </rPr>
      <t>12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12</t>
    </r>
    <r>
      <rPr>
        <b/>
        <sz val="12"/>
        <color indexed="8"/>
        <rFont val="Times New Roman"/>
        <family val="1"/>
      </rPr>
      <t xml:space="preserve"> = 0</t>
    </r>
  </si>
  <si>
    <r>
      <t>Q</t>
    </r>
    <r>
      <rPr>
        <b/>
        <vertAlign val="subscript"/>
        <sz val="12"/>
        <color indexed="8"/>
        <rFont val="Times New Roman"/>
        <family val="1"/>
      </rPr>
      <t>12</t>
    </r>
    <r>
      <rPr>
        <b/>
        <sz val="12"/>
        <color indexed="8"/>
        <rFont val="Times New Roman"/>
        <family val="1"/>
      </rPr>
      <t xml:space="preserve"> = L</t>
    </r>
    <r>
      <rPr>
        <b/>
        <vertAlign val="subscript"/>
        <sz val="12"/>
        <color indexed="8"/>
        <rFont val="Times New Roman"/>
        <family val="1"/>
      </rPr>
      <t>12</t>
    </r>
  </si>
  <si>
    <t>Trasformazione 2-3 isocora</t>
  </si>
  <si>
    <t>4)</t>
  </si>
  <si>
    <t>Calcolare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</si>
  <si>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>,  Q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 xml:space="preserve"> </t>
    </r>
  </si>
  <si>
    <t>Applico il Primo Principio della Termodinamica</t>
  </si>
  <si>
    <r>
      <t>essendo L</t>
    </r>
    <r>
      <rPr>
        <vertAlign val="subscript"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= 0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</si>
  <si>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Q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</si>
  <si>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r>
      <t>dove T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si ricava dall'equazione di stato dei gas perfetti applicata nello stato 3 (p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</si>
  <si>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p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mRT</t>
    </r>
    <r>
      <rPr>
        <vertAlign val="subscript"/>
        <sz val="12"/>
        <color indexed="8"/>
        <rFont val="Times New Roman"/>
        <family val="1"/>
      </rPr>
      <t>3</t>
    </r>
  </si>
  <si>
    <r>
      <t>T</t>
    </r>
    <r>
      <rPr>
        <vertAlign val="sub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= p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/mR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</si>
  <si>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 xml:space="preserve"> =  Q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 xml:space="preserve">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</si>
  <si>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Il sistema si riscalda</t>
  </si>
  <si>
    <t>Trasformazione 3-1 isobara</t>
  </si>
  <si>
    <t>5)</t>
  </si>
  <si>
    <t xml:space="preserve">Nella trasformazione 3-1, il sistema torna nello stato iniziale 1 a pressione costante. </t>
  </si>
  <si>
    <t>Lavoro</t>
  </si>
  <si>
    <r>
      <t>L</t>
    </r>
    <r>
      <rPr>
        <vertAlign val="subscript"/>
        <sz val="11"/>
        <color indexed="8"/>
        <rFont val="Times New Roman"/>
        <family val="1"/>
      </rPr>
      <t>31</t>
    </r>
    <r>
      <rPr>
        <sz val="11"/>
        <color indexed="8"/>
        <rFont val="Times New Roman"/>
        <family val="1"/>
      </rPr>
      <t xml:space="preserve"> = p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-V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) </t>
    </r>
  </si>
  <si>
    <t xml:space="preserve">Calore </t>
  </si>
  <si>
    <r>
      <t>Q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= mc</t>
    </r>
    <r>
      <rPr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T = m c</t>
    </r>
    <r>
      <rPr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 xml:space="preserve"> (T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- T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</si>
  <si>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=  Q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- L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 </t>
    </r>
  </si>
  <si>
    <t>6)</t>
  </si>
  <si>
    <t>Lavoro del ciclo, Calore scambiato e Variazione di energia interna</t>
  </si>
  <si>
    <r>
      <t>L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</t>
    </r>
    <r>
      <rPr>
        <sz val="11"/>
        <color indexed="8"/>
        <rFont val="Times New Roman"/>
        <family val="1"/>
      </rPr>
      <t xml:space="preserve"> L</t>
    </r>
    <r>
      <rPr>
        <vertAlign val="subscript"/>
        <sz val="11"/>
        <color indexed="8"/>
        <rFont val="Times New Roman"/>
        <family val="1"/>
      </rPr>
      <t>1,2</t>
    </r>
    <r>
      <rPr>
        <sz val="11"/>
        <color indexed="8"/>
        <rFont val="Times New Roman"/>
        <family val="1"/>
      </rPr>
      <t xml:space="preserve"> + L</t>
    </r>
    <r>
      <rPr>
        <vertAlign val="subscript"/>
        <sz val="11"/>
        <color indexed="8"/>
        <rFont val="Times New Roman"/>
        <family val="1"/>
      </rPr>
      <t>2,3</t>
    </r>
    <r>
      <rPr>
        <sz val="11"/>
        <color indexed="8"/>
        <rFont val="Times New Roman"/>
        <family val="1"/>
      </rPr>
      <t>+ L</t>
    </r>
    <r>
      <rPr>
        <vertAlign val="subscript"/>
        <sz val="11"/>
        <color indexed="8"/>
        <rFont val="Times New Roman"/>
        <family val="1"/>
      </rPr>
      <t>31</t>
    </r>
    <r>
      <rPr>
        <sz val="11"/>
        <color indexed="8"/>
        <rFont val="Times New Roman"/>
        <family val="1"/>
      </rPr>
      <t xml:space="preserve"> =</t>
    </r>
  </si>
  <si>
    <r>
      <t>Q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</t>
    </r>
    <r>
      <rPr>
        <sz val="11"/>
        <color indexed="8"/>
        <rFont val="Times New Roman"/>
        <family val="1"/>
      </rPr>
      <t xml:space="preserve"> Q</t>
    </r>
    <r>
      <rPr>
        <vertAlign val="subscript"/>
        <sz val="11"/>
        <color indexed="8"/>
        <rFont val="Times New Roman"/>
        <family val="1"/>
      </rPr>
      <t>1,2</t>
    </r>
    <r>
      <rPr>
        <sz val="11"/>
        <color indexed="8"/>
        <rFont val="Times New Roman"/>
        <family val="1"/>
      </rPr>
      <t xml:space="preserve"> + Q</t>
    </r>
    <r>
      <rPr>
        <vertAlign val="subscript"/>
        <sz val="11"/>
        <color indexed="8"/>
        <rFont val="Times New Roman"/>
        <family val="1"/>
      </rPr>
      <t>2,3</t>
    </r>
    <r>
      <rPr>
        <sz val="11"/>
        <color indexed="8"/>
        <rFont val="Times New Roman"/>
        <family val="1"/>
      </rPr>
      <t>+ Q</t>
    </r>
    <r>
      <rPr>
        <vertAlign val="subscript"/>
        <sz val="11"/>
        <color indexed="8"/>
        <rFont val="Times New Roman"/>
        <family val="1"/>
      </rPr>
      <t>31</t>
    </r>
    <r>
      <rPr>
        <sz val="11"/>
        <color indexed="8"/>
        <rFont val="Times New Roman"/>
        <family val="1"/>
      </rPr>
      <t xml:space="preserve"> =</t>
    </r>
  </si>
  <si>
    <t>ovvero</t>
  </si>
  <si>
    <t xml:space="preserve">essendo 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</si>
  <si>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 Q</t>
    </r>
    <r>
      <rPr>
        <b/>
        <vertAlign val="subscript"/>
        <sz val="12"/>
        <color indexed="8"/>
        <rFont val="Times New Roman"/>
        <family val="1"/>
      </rPr>
      <t xml:space="preserve">ciclo </t>
    </r>
    <r>
      <rPr>
        <b/>
        <sz val="12"/>
        <color indexed="8"/>
        <rFont val="Times New Roman"/>
        <family val="1"/>
      </rPr>
      <t>- 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0</t>
    </r>
  </si>
  <si>
    <t>ne deriva che:</t>
  </si>
  <si>
    <r>
      <t>Q</t>
    </r>
    <r>
      <rPr>
        <b/>
        <vertAlign val="subscript"/>
        <sz val="12"/>
        <color indexed="8"/>
        <rFont val="Times New Roman"/>
        <family val="1"/>
      </rPr>
      <t xml:space="preserve">ciclo </t>
    </r>
    <r>
      <rPr>
        <b/>
        <sz val="12"/>
        <color indexed="8"/>
        <rFont val="Times New Roman"/>
        <family val="1"/>
      </rPr>
      <t>- 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0</t>
    </r>
  </si>
  <si>
    <r>
      <t>Q</t>
    </r>
    <r>
      <rPr>
        <b/>
        <vertAlign val="subscript"/>
        <sz val="12"/>
        <color indexed="8"/>
        <rFont val="Times New Roman"/>
        <family val="1"/>
      </rPr>
      <t xml:space="preserve">ciclo </t>
    </r>
    <r>
      <rPr>
        <b/>
        <sz val="12"/>
        <color indexed="8"/>
        <rFont val="Times New Roman"/>
        <family val="1"/>
      </rPr>
      <t>= 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</t>
    </r>
  </si>
  <si>
    <t>Il sistema complessivamente si comprime (L &lt; 0) e si raffredda (Q &lt; 0)</t>
  </si>
  <si>
    <t>Esercizio 8</t>
  </si>
  <si>
    <r>
      <t>In un cilindro orizzontale si abbia aria secca nelle condizioni iniziali aria a 20 °C e 58 atm. Il volume iniziale del cilindro sia 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= 0,1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.  </t>
    </r>
  </si>
  <si>
    <t>Il sistema passa dallo stato 1 allo stato 2 attraverso una trasformazione isobara</t>
  </si>
  <si>
    <r>
      <t>Nello stato 2 il sistema raggiunge il volume finale 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= 0,3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. </t>
    </r>
  </si>
  <si>
    <r>
      <t>Determinare: le proprietà termodinamiche finali (p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, T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, 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), il calore scambiato, la variazione di entalpia, </t>
    </r>
  </si>
  <si>
    <r>
      <t>la variazione di energia interna ed il lavoro scambiato. Considerare l’aria come gas perfetto (R = 287 J/kg K, c</t>
    </r>
    <r>
      <rPr>
        <vertAlign val="subscript"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 xml:space="preserve"> = 0.717 kJ/kg k, c</t>
    </r>
    <r>
      <rPr>
        <vertAlign val="subscript"/>
        <sz val="11"/>
        <color indexed="8"/>
        <rFont val="Times New Roman"/>
        <family val="1"/>
      </rPr>
      <t>p</t>
    </r>
    <r>
      <rPr>
        <sz val="11"/>
        <color indexed="8"/>
        <rFont val="Times New Roman"/>
        <family val="1"/>
      </rPr>
      <t xml:space="preserve"> = 1.005 kJ/kg k) </t>
    </r>
  </si>
  <si>
    <r>
      <t>p</t>
    </r>
    <r>
      <rPr>
        <vertAlign val="subscript"/>
        <sz val="11"/>
        <color indexed="8"/>
        <rFont val="Times New Roman"/>
        <family val="1"/>
      </rPr>
      <t>1</t>
    </r>
  </si>
  <si>
    <r>
      <t>T</t>
    </r>
    <r>
      <rPr>
        <vertAlign val="subscript"/>
        <sz val="11"/>
        <color indexed="8"/>
        <rFont val="Times New Roman"/>
        <family val="1"/>
      </rPr>
      <t>1</t>
    </r>
  </si>
  <si>
    <r>
      <t>V</t>
    </r>
    <r>
      <rPr>
        <vertAlign val="subscript"/>
        <sz val="11"/>
        <color indexed="8"/>
        <rFont val="Times New Roman"/>
        <family val="1"/>
      </rPr>
      <t>1</t>
    </r>
  </si>
  <si>
    <r>
      <t>V</t>
    </r>
    <r>
      <rPr>
        <vertAlign val="subscript"/>
        <sz val="11"/>
        <color indexed="8"/>
        <rFont val="Times New Roman"/>
        <family val="1"/>
      </rPr>
      <t>2</t>
    </r>
  </si>
  <si>
    <r>
      <t>c</t>
    </r>
    <r>
      <rPr>
        <vertAlign val="subscript"/>
        <sz val="11"/>
        <color indexed="8"/>
        <rFont val="Times New Roman"/>
        <family val="1"/>
      </rPr>
      <t>v</t>
    </r>
  </si>
  <si>
    <r>
      <t>c</t>
    </r>
    <r>
      <rPr>
        <vertAlign val="subscript"/>
        <sz val="11"/>
        <color indexed="8"/>
        <rFont val="Times New Roman"/>
        <family val="1"/>
      </rPr>
      <t>p</t>
    </r>
  </si>
  <si>
    <t>Prima di considerare le trasformazioni,dall'equazione di stato dei gas perfetti</t>
  </si>
  <si>
    <t>si ricava il volume specifico:</t>
  </si>
  <si>
    <t>Essendo pv= RT</t>
  </si>
  <si>
    <t>allo stato 1</t>
  </si>
  <si>
    <r>
      <t>p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= RT</t>
    </r>
    <r>
      <rPr>
        <vertAlign val="subscript"/>
        <sz val="11"/>
        <color indexed="8"/>
        <rFont val="Times New Roman"/>
        <family val="1"/>
      </rPr>
      <t>1</t>
    </r>
  </si>
  <si>
    <r>
      <t>da cui 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</t>
    </r>
  </si>
  <si>
    <r>
      <t>RT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1</t>
    </r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</si>
  <si>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/kg</t>
    </r>
  </si>
  <si>
    <t xml:space="preserve"> La massa dell'aria  contenuta nel ciclindro è:</t>
  </si>
  <si>
    <r>
      <t>m=V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/v</t>
    </r>
    <r>
      <rPr>
        <vertAlign val="subscript"/>
        <sz val="11"/>
        <color indexed="8"/>
        <rFont val="Times New Roman"/>
        <family val="1"/>
      </rPr>
      <t>1</t>
    </r>
  </si>
  <si>
    <t>Essendo m costante il volume specifico nello stato 2 è:</t>
  </si>
  <si>
    <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=V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/m</t>
    </r>
  </si>
  <si>
    <t xml:space="preserve">Calcolare le proprietà termodinamiche finali </t>
  </si>
  <si>
    <r>
      <t>p</t>
    </r>
    <r>
      <rPr>
        <vertAlign val="sub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= p2</t>
    </r>
  </si>
  <si>
    <t>Ricavo la temperatura T2 dall'equazione di stato dei gas perfetti</t>
  </si>
  <si>
    <r>
      <t>T</t>
    </r>
    <r>
      <rPr>
        <vertAlign val="subscript"/>
        <sz val="11"/>
        <color indexed="8"/>
        <rFont val="Times New Roman"/>
        <family val="1"/>
      </rPr>
      <t>2</t>
    </r>
  </si>
  <si>
    <t>nello stato  2</t>
  </si>
  <si>
    <r>
      <t>p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= RT</t>
    </r>
    <r>
      <rPr>
        <vertAlign val="subscript"/>
        <sz val="11"/>
        <color indexed="8"/>
        <rFont val="Times New Roman"/>
        <family val="1"/>
      </rPr>
      <t>2</t>
    </r>
  </si>
  <si>
    <r>
      <t>da cui T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</t>
    </r>
  </si>
  <si>
    <r>
      <t>p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/R</t>
    </r>
  </si>
  <si>
    <t>Calcolare la variazione di entalpia</t>
  </si>
  <si>
    <t>Essendo una trasformazione isobara di gas perfetto essa risulta pari al calore scambiato: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</si>
  <si>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H</t>
    </r>
    <r>
      <rPr>
        <vertAlign val="subscript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>= H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-H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= Q = m c</t>
    </r>
    <r>
      <rPr>
        <vertAlign val="subscript"/>
        <sz val="11"/>
        <color indexed="8"/>
        <rFont val="Times New Roman"/>
        <family val="1"/>
      </rPr>
      <t>p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T</t>
    </r>
  </si>
  <si>
    <t>Calcolare la variazione di energia interna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</si>
  <si>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>= m c</t>
    </r>
    <r>
      <rPr>
        <vertAlign val="subscript"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T</t>
    </r>
  </si>
  <si>
    <t>Calcolare il lavoro scambiato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</si>
  <si>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>= Q-L</t>
    </r>
  </si>
  <si>
    <r>
      <t>L = Q</t>
    </r>
    <r>
      <rPr>
        <sz val="11"/>
        <color indexed="8"/>
        <rFont val="Symbol"/>
        <family val="1"/>
      </rPr>
      <t xml:space="preserve"> - 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12</t>
    </r>
  </si>
  <si>
    <r>
      <t>Dell’aria compie una trasformazione isocora tra uno stato termodinamico iniziale 1 ad uno stato termodinamico 2. L’espansione è isocora (V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0,3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), </t>
    </r>
  </si>
  <si>
    <r>
      <t>mentre la pressione passa dal valore iniziale 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40 atm ad un valore finale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70 atm. La temperatura iniziale è 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15 °C.</t>
    </r>
  </si>
  <si>
    <r>
      <t>Ipotizzando l’aria come un gas perfetto (costante del gas R</t>
    </r>
    <r>
      <rPr>
        <vertAlign val="subscript"/>
        <sz val="12"/>
        <color indexed="8"/>
        <rFont val="Times New Roman"/>
        <family val="1"/>
      </rPr>
      <t>aria</t>
    </r>
    <r>
      <rPr>
        <sz val="12"/>
        <color indexed="8"/>
        <rFont val="Times New Roman"/>
        <family val="1"/>
      </rPr>
      <t xml:space="preserve"> = 288 J/kg K), determinare:</t>
    </r>
  </si>
  <si>
    <t>a) il lavoro compiuto L lungo la trasformazione</t>
  </si>
  <si>
    <t>b) il calore scambiato Q lungo la trasformazione</t>
  </si>
  <si>
    <t>c) la variazione di energia interna DU dallo stato iniziale 1 allo stato finale 2.</t>
  </si>
  <si>
    <t>Dati:</t>
  </si>
  <si>
    <r>
      <t>p</t>
    </r>
    <r>
      <rPr>
        <vertAlign val="subscript"/>
        <sz val="11"/>
        <color indexed="8"/>
        <rFont val="Times New Roman"/>
        <family val="1"/>
      </rPr>
      <t>2</t>
    </r>
  </si>
  <si>
    <r>
      <t xml:space="preserve"> 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</si>
  <si>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</si>
  <si>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 = 5/2 R</t>
    </r>
  </si>
  <si>
    <t>a) Lavoro</t>
  </si>
  <si>
    <t>Trasformazione isocora quindi:</t>
  </si>
  <si>
    <t>b) Calore</t>
  </si>
  <si>
    <r>
      <t>Q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)</t>
    </r>
  </si>
  <si>
    <r>
      <t xml:space="preserve">Calcolare </t>
    </r>
    <r>
      <rPr>
        <b/>
        <sz val="12"/>
        <color indexed="8"/>
        <rFont val="Times New Roman"/>
        <family val="1"/>
      </rPr>
      <t>m e T</t>
    </r>
    <r>
      <rPr>
        <b/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</si>
  <si>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Per calcolare la massa di aria m si calcoli il volume specifico dall'equazione di stato dei gas perfetti:</t>
  </si>
  <si>
    <t>La massa dell'aria  è:</t>
  </si>
  <si>
    <r>
      <t>Ricavo la temperatura T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dall'equazione di stato dei gas perfetti</t>
    </r>
  </si>
  <si>
    <r>
      <t>T</t>
    </r>
    <r>
      <rPr>
        <vertAlign val="sub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=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/mR</t>
    </r>
  </si>
  <si>
    <t>c) Variazione dell'energia interna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</si>
  <si>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Q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</si>
  <si>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= Uf-Ui =</t>
    </r>
  </si>
  <si>
    <t>Infatti, dall'eq. del Primo Principio:</t>
  </si>
  <si>
    <t>Q-L =</t>
  </si>
  <si>
    <r>
      <t>U</t>
    </r>
    <r>
      <rPr>
        <vertAlign val="subscript"/>
        <sz val="12"/>
        <color indexed="8"/>
        <rFont val="Times New Roman"/>
        <family val="1"/>
      </rPr>
      <t>i</t>
    </r>
  </si>
  <si>
    <r>
      <t xml:space="preserve">Nell'ipotesi in cui il liquido torni nelle condizioni iniziali, allora si considera un processo in cui la variazione di energia interna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U' sarà uguale e opposta a quella precedente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</si>
  <si>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U' = -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</si>
  <si>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U' = 400</t>
    </r>
  </si>
  <si>
    <t>1) Dal Primo Principio della Termodinamica, noto L2, ricavo Q2:</t>
  </si>
  <si>
    <r>
      <t>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*(T</t>
    </r>
    <r>
      <rPr>
        <vertAlign val="subscript"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-T</t>
    </r>
    <r>
      <rPr>
        <vertAlign val="subscript"/>
        <sz val="12"/>
        <color indexed="8"/>
        <rFont val="Times New Roman"/>
        <family val="1"/>
      </rPr>
      <t>i,a</t>
    </r>
    <r>
      <rPr>
        <sz val="12"/>
        <color indexed="8"/>
        <rFont val="Times New Roman"/>
        <family val="1"/>
      </rPr>
      <t>) +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*(T</t>
    </r>
    <r>
      <rPr>
        <vertAlign val="subscript"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-T</t>
    </r>
    <r>
      <rPr>
        <vertAlign val="subscript"/>
        <sz val="12"/>
        <color indexed="8"/>
        <rFont val="Times New Roman"/>
        <family val="1"/>
      </rPr>
      <t>i,M</t>
    </r>
    <r>
      <rPr>
        <sz val="12"/>
        <color indexed="8"/>
        <rFont val="Times New Roman"/>
        <family val="1"/>
      </rPr>
      <t>) = 0</t>
    </r>
  </si>
  <si>
    <r>
      <t>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 xml:space="preserve">f </t>
    </r>
    <r>
      <rPr>
        <sz val="12"/>
        <color indexed="8"/>
        <rFont val="Times New Roman"/>
        <family val="1"/>
      </rPr>
      <t>- 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i,a</t>
    </r>
    <r>
      <rPr>
        <sz val="12"/>
        <color indexed="8"/>
        <rFont val="Times New Roman"/>
        <family val="1"/>
      </rPr>
      <t xml:space="preserve"> +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 xml:space="preserve">f </t>
    </r>
    <r>
      <rPr>
        <sz val="12"/>
        <color indexed="8"/>
        <rFont val="Times New Roman"/>
        <family val="1"/>
      </rPr>
      <t>-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i,M</t>
    </r>
    <r>
      <rPr>
        <sz val="12"/>
        <color indexed="8"/>
        <rFont val="Times New Roman"/>
        <family val="1"/>
      </rPr>
      <t xml:space="preserve"> = 0</t>
    </r>
  </si>
  <si>
    <r>
      <t>(m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+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)*T</t>
    </r>
    <r>
      <rPr>
        <vertAlign val="subscript"/>
        <sz val="12"/>
        <color indexed="8"/>
        <rFont val="Times New Roman"/>
        <family val="1"/>
      </rPr>
      <t xml:space="preserve">f </t>
    </r>
    <r>
      <rPr>
        <sz val="12"/>
        <color indexed="8"/>
        <rFont val="Times New Roman"/>
        <family val="1"/>
      </rPr>
      <t>-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i,M</t>
    </r>
    <r>
      <rPr>
        <sz val="12"/>
        <color indexed="8"/>
        <rFont val="Times New Roman"/>
        <family val="1"/>
      </rPr>
      <t xml:space="preserve"> - 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i,a</t>
    </r>
    <r>
      <rPr>
        <sz val="12"/>
        <color indexed="8"/>
        <rFont val="Times New Roman"/>
        <family val="1"/>
      </rPr>
      <t xml:space="preserve"> = 0</t>
    </r>
  </si>
  <si>
    <r>
      <t>(m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+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)*T</t>
    </r>
    <r>
      <rPr>
        <vertAlign val="subscript"/>
        <sz val="12"/>
        <color indexed="8"/>
        <rFont val="Times New Roman"/>
        <family val="1"/>
      </rPr>
      <t xml:space="preserve">f </t>
    </r>
    <r>
      <rPr>
        <sz val="12"/>
        <color indexed="8"/>
        <rFont val="Times New Roman"/>
        <family val="1"/>
      </rPr>
      <t>=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i,M</t>
    </r>
    <r>
      <rPr>
        <sz val="12"/>
        <color indexed="8"/>
        <rFont val="Times New Roman"/>
        <family val="1"/>
      </rPr>
      <t xml:space="preserve"> + 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i,a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</si>
  <si>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 xml:space="preserve">f </t>
    </r>
    <r>
      <rPr>
        <sz val="12"/>
        <color indexed="8"/>
        <rFont val="Times New Roman"/>
        <family val="1"/>
      </rPr>
      <t>= (m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i,M</t>
    </r>
    <r>
      <rPr>
        <sz val="12"/>
        <color indexed="8"/>
        <rFont val="Times New Roman"/>
        <family val="1"/>
      </rPr>
      <t xml:space="preserve"> + 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*T</t>
    </r>
    <r>
      <rPr>
        <vertAlign val="subscript"/>
        <sz val="12"/>
        <color indexed="8"/>
        <rFont val="Times New Roman"/>
        <family val="1"/>
      </rPr>
      <t>i,a)</t>
    </r>
    <r>
      <rPr>
        <sz val="12"/>
        <color indexed="8"/>
        <rFont val="Times New Roman"/>
        <family val="1"/>
      </rPr>
      <t>/(m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+ m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>*c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 xml:space="preserve">) </t>
    </r>
  </si>
  <si>
    <r>
      <t>V</t>
    </r>
    <r>
      <rPr>
        <vertAlign val="subscript"/>
        <sz val="11"/>
        <color indexed="8"/>
        <rFont val="Times New Roman"/>
        <family val="1"/>
      </rPr>
      <t>m</t>
    </r>
  </si>
  <si>
    <r>
      <t>V</t>
    </r>
    <r>
      <rPr>
        <vertAlign val="subscript"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 xml:space="preserve">  = pD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H/4</t>
    </r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</si>
  <si>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</si>
  <si>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r>
      <t>m</t>
    </r>
    <r>
      <rPr>
        <vertAlign val="subscript"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 xml:space="preserve"> =r</t>
    </r>
    <r>
      <rPr>
        <vertAlign val="subscript"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>*V</t>
    </r>
    <r>
      <rPr>
        <vertAlign val="subscript"/>
        <sz val="11"/>
        <color indexed="8"/>
        <rFont val="Times New Roman"/>
        <family val="1"/>
      </rPr>
      <t>M</t>
    </r>
  </si>
  <si>
    <r>
      <t>m</t>
    </r>
    <r>
      <rPr>
        <vertAlign val="subscript"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 xml:space="preserve"> =r</t>
    </r>
    <r>
      <rPr>
        <vertAlign val="subscript"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*V</t>
    </r>
    <r>
      <rPr>
        <vertAlign val="subscript"/>
        <sz val="11"/>
        <color indexed="8"/>
        <rFont val="Times New Roman"/>
        <family val="1"/>
      </rPr>
      <t>a</t>
    </r>
  </si>
  <si>
    <t>DU =  0</t>
  </si>
  <si>
    <r>
      <t>T</t>
    </r>
    <r>
      <rPr>
        <vertAlign val="subscript"/>
        <sz val="11"/>
        <color indexed="8"/>
        <rFont val="Times New Roman"/>
        <family val="1"/>
      </rPr>
      <t>i,</t>
    </r>
    <r>
      <rPr>
        <sz val="11"/>
        <color indexed="8"/>
        <rFont val="Times New Roman"/>
        <family val="1"/>
      </rPr>
      <t>a</t>
    </r>
  </si>
  <si>
    <r>
      <t>kg/m</t>
    </r>
    <r>
      <rPr>
        <vertAlign val="superscript"/>
        <sz val="11"/>
        <color indexed="8"/>
        <rFont val="Times New Roman"/>
        <family val="1"/>
      </rPr>
      <t>3</t>
    </r>
  </si>
  <si>
    <r>
      <t>c</t>
    </r>
    <r>
      <rPr>
        <vertAlign val="subscript"/>
        <sz val="11"/>
        <color indexed="8"/>
        <rFont val="Times New Roman"/>
        <family val="1"/>
      </rPr>
      <t>a</t>
    </r>
  </si>
  <si>
    <r>
      <t>T</t>
    </r>
    <r>
      <rPr>
        <vertAlign val="subscript"/>
        <sz val="11"/>
        <color indexed="8"/>
        <rFont val="Times New Roman"/>
        <family val="1"/>
      </rPr>
      <t>i,M</t>
    </r>
  </si>
  <si>
    <r>
      <t>Per calcolare la temperatura finale di equilibrio T</t>
    </r>
    <r>
      <rPr>
        <vertAlign val="subscript"/>
        <sz val="11"/>
        <color indexed="8"/>
        <rFont val="Times New Roman"/>
        <family val="1"/>
      </rPr>
      <t>f</t>
    </r>
    <r>
      <rPr>
        <sz val="11"/>
        <color indexed="8"/>
        <rFont val="Times New Roman"/>
        <family val="1"/>
      </rPr>
      <t xml:space="preserve">, che si genera alla fine dello scambio termico trai due </t>
    </r>
  </si>
  <si>
    <r>
      <t>DU = DU</t>
    </r>
    <r>
      <rPr>
        <b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+ DU</t>
    </r>
    <r>
      <rPr>
        <b/>
        <vertAlign val="subscript"/>
        <sz val="12"/>
        <color indexed="8"/>
        <rFont val="Times New Roman"/>
        <family val="1"/>
      </rPr>
      <t xml:space="preserve">M </t>
    </r>
    <r>
      <rPr>
        <b/>
        <sz val="12"/>
        <color indexed="8"/>
        <rFont val="Times New Roman"/>
        <family val="1"/>
      </rPr>
      <t>= 0</t>
    </r>
  </si>
  <si>
    <r>
      <t>Raggiunto lo stato termodinamico 2 il gas subisce una trasformazione che lo porta, a volume costante, alla pressione p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= 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. </t>
    </r>
  </si>
  <si>
    <t>Calcolare:</t>
  </si>
  <si>
    <r>
      <t>Lavoro di espansione, il sistema si espande (V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&gt;V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</t>
    </r>
  </si>
  <si>
    <t>Esercizio 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</si>
</sst>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Symbol"/>
      <family val="1"/>
    </font>
    <font>
      <b/>
      <vertAlign val="subscript"/>
      <sz val="12"/>
      <color indexed="8"/>
      <name val="Times New Roman"/>
      <family val="1"/>
    </font>
    <font>
      <i/>
      <sz val="12"/>
      <color indexed="8"/>
      <name val="Symbol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mbria Math"/>
      <family val="0"/>
    </font>
    <font>
      <sz val="16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/>
    </xf>
    <xf numFmtId="0" fontId="59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center"/>
    </xf>
    <xf numFmtId="2" fontId="57" fillId="0" borderId="0" xfId="0" applyNumberFormat="1" applyFont="1" applyAlignment="1">
      <alignment horizontal="right" vertical="center"/>
    </xf>
    <xf numFmtId="2" fontId="59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1" fontId="57" fillId="0" borderId="0" xfId="0" applyNumberFormat="1" applyFont="1" applyAlignment="1">
      <alignment horizontal="left" vertical="center"/>
    </xf>
    <xf numFmtId="1" fontId="57" fillId="0" borderId="0" xfId="0" applyNumberFormat="1" applyFont="1" applyAlignment="1">
      <alignment horizontal="right" vertical="center"/>
    </xf>
    <xf numFmtId="164" fontId="57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right"/>
    </xf>
    <xf numFmtId="0" fontId="58" fillId="0" borderId="0" xfId="0" applyFont="1" applyFill="1" applyBorder="1" applyAlignment="1">
      <alignment vertical="center"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4</xdr:col>
      <xdr:colOff>514350</xdr:colOff>
      <xdr:row>22</xdr:row>
      <xdr:rowOff>47625</xdr:rowOff>
    </xdr:to>
    <xdr:grpSp>
      <xdr:nvGrpSpPr>
        <xdr:cNvPr id="1" name="Gruppo 11"/>
        <xdr:cNvGrpSpPr>
          <a:grpSpLocks/>
        </xdr:cNvGrpSpPr>
      </xdr:nvGrpSpPr>
      <xdr:grpSpPr>
        <a:xfrm>
          <a:off x="0" y="1914525"/>
          <a:ext cx="4181475" cy="2533650"/>
          <a:chOff x="7848600" y="171450"/>
          <a:chExt cx="4333875" cy="2819630"/>
        </a:xfrm>
        <a:solidFill>
          <a:srgbClr val="FFFFFF"/>
        </a:solidFill>
      </xdr:grpSpPr>
      <xdr:pic>
        <xdr:nvPicPr>
          <xdr:cNvPr id="2" name="Immagin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8600" y="171450"/>
            <a:ext cx="4333875" cy="28196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onnettore 2 6"/>
          <xdr:cNvSpPr>
            <a:spLocks/>
          </xdr:cNvSpPr>
        </xdr:nvSpPr>
        <xdr:spPr>
          <a:xfrm>
            <a:off x="9763089" y="1000421"/>
            <a:ext cx="552569" cy="323553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onnettore 2 8"/>
          <xdr:cNvSpPr>
            <a:spLocks/>
          </xdr:cNvSpPr>
        </xdr:nvSpPr>
        <xdr:spPr>
          <a:xfrm flipH="1" flipV="1">
            <a:off x="9868186" y="1933719"/>
            <a:ext cx="600242" cy="9869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onnettore 2 10"/>
          <xdr:cNvSpPr>
            <a:spLocks/>
          </xdr:cNvSpPr>
        </xdr:nvSpPr>
        <xdr:spPr>
          <a:xfrm flipH="1" flipV="1">
            <a:off x="9315617" y="1142813"/>
            <a:ext cx="9751" cy="438452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29</xdr:row>
      <xdr:rowOff>152400</xdr:rowOff>
    </xdr:from>
    <xdr:to>
      <xdr:col>20</xdr:col>
      <xdr:colOff>114300</xdr:colOff>
      <xdr:row>43</xdr:row>
      <xdr:rowOff>133350</xdr:rowOff>
    </xdr:to>
    <xdr:grpSp>
      <xdr:nvGrpSpPr>
        <xdr:cNvPr id="6" name="Gruppo 12"/>
        <xdr:cNvGrpSpPr>
          <a:grpSpLocks/>
        </xdr:cNvGrpSpPr>
      </xdr:nvGrpSpPr>
      <xdr:grpSpPr>
        <a:xfrm>
          <a:off x="9201150" y="6067425"/>
          <a:ext cx="4333875" cy="3086100"/>
          <a:chOff x="7848600" y="171450"/>
          <a:chExt cx="4333875" cy="2819630"/>
        </a:xfrm>
        <a:solidFill>
          <a:srgbClr val="FFFFFF"/>
        </a:solidFill>
      </xdr:grpSpPr>
      <xdr:pic>
        <xdr:nvPicPr>
          <xdr:cNvPr id="7" name="Immagin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8600" y="171450"/>
            <a:ext cx="4333875" cy="28196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Connettore 2 14"/>
          <xdr:cNvSpPr>
            <a:spLocks/>
          </xdr:cNvSpPr>
        </xdr:nvSpPr>
        <xdr:spPr>
          <a:xfrm>
            <a:off x="9763089" y="1000421"/>
            <a:ext cx="552569" cy="323553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nettore 2 15"/>
          <xdr:cNvSpPr>
            <a:spLocks/>
          </xdr:cNvSpPr>
        </xdr:nvSpPr>
        <xdr:spPr>
          <a:xfrm flipH="1" flipV="1">
            <a:off x="9868186" y="1933719"/>
            <a:ext cx="600242" cy="9869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nettore 2 16"/>
          <xdr:cNvSpPr>
            <a:spLocks/>
          </xdr:cNvSpPr>
        </xdr:nvSpPr>
        <xdr:spPr>
          <a:xfrm flipH="1" flipV="1">
            <a:off x="9315617" y="1142813"/>
            <a:ext cx="9751" cy="438452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15</xdr:col>
      <xdr:colOff>9525</xdr:colOff>
      <xdr:row>28</xdr:row>
      <xdr:rowOff>19050</xdr:rowOff>
    </xdr:to>
    <xdr:grpSp>
      <xdr:nvGrpSpPr>
        <xdr:cNvPr id="1" name="Gruppo 4"/>
        <xdr:cNvGrpSpPr>
          <a:grpSpLocks/>
        </xdr:cNvGrpSpPr>
      </xdr:nvGrpSpPr>
      <xdr:grpSpPr>
        <a:xfrm>
          <a:off x="5743575" y="3190875"/>
          <a:ext cx="4276725" cy="2847975"/>
          <a:chOff x="5734050" y="3200400"/>
          <a:chExt cx="4276725" cy="2867025"/>
        </a:xfrm>
        <a:solidFill>
          <a:srgbClr val="FFFFFF"/>
        </a:solidFill>
      </xdr:grpSpPr>
      <xdr:pic>
        <xdr:nvPicPr>
          <xdr:cNvPr id="2" name="Immagin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34050" y="3200400"/>
            <a:ext cx="4276725" cy="28670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Connettore 2 5"/>
          <xdr:cNvSpPr>
            <a:spLocks/>
          </xdr:cNvSpPr>
        </xdr:nvSpPr>
        <xdr:spPr>
          <a:xfrm>
            <a:off x="6801093" y="4781564"/>
            <a:ext cx="952640" cy="552619"/>
          </a:xfrm>
          <a:prstGeom prst="straightConnector1">
            <a:avLst/>
          </a:prstGeom>
          <a:noFill/>
          <a:ln w="19050" cmpd="sng">
            <a:solidFill>
              <a:srgbClr val="92D05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onnettore 2 7"/>
          <xdr:cNvSpPr>
            <a:spLocks/>
          </xdr:cNvSpPr>
        </xdr:nvSpPr>
        <xdr:spPr>
          <a:xfrm flipV="1">
            <a:off x="8601594" y="4276968"/>
            <a:ext cx="0" cy="1085886"/>
          </a:xfrm>
          <a:prstGeom prst="straightConnector1">
            <a:avLst/>
          </a:prstGeom>
          <a:noFill/>
          <a:ln w="19050" cmpd="sng">
            <a:solidFill>
              <a:srgbClr val="92D05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onnettore 2 9"/>
          <xdr:cNvSpPr>
            <a:spLocks/>
          </xdr:cNvSpPr>
        </xdr:nvSpPr>
        <xdr:spPr>
          <a:xfrm flipH="1">
            <a:off x="7257633" y="4133617"/>
            <a:ext cx="1038175" cy="0"/>
          </a:xfrm>
          <a:prstGeom prst="straightConnector1">
            <a:avLst/>
          </a:prstGeom>
          <a:noFill/>
          <a:ln w="19050" cmpd="sng">
            <a:solidFill>
              <a:srgbClr val="92D05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1</xdr:col>
      <xdr:colOff>28575</xdr:colOff>
      <xdr:row>38</xdr:row>
      <xdr:rowOff>66675</xdr:rowOff>
    </xdr:from>
    <xdr:ext cx="1390650" cy="447675"/>
    <xdr:sp>
      <xdr:nvSpPr>
        <xdr:cNvPr id="6" name="CasellaDiTesto 10"/>
        <xdr:cNvSpPr txBox="1">
          <a:spLocks noChangeArrowheads="1"/>
        </xdr:cNvSpPr>
      </xdr:nvSpPr>
      <xdr:spPr>
        <a:xfrm>
          <a:off x="638175" y="8267700"/>
          <a:ext cx="1390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L_12=mRT_1 ln V_2/V_1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82</xdr:row>
      <xdr:rowOff>85725</xdr:rowOff>
    </xdr:from>
    <xdr:ext cx="1495425" cy="504825"/>
    <xdr:sp>
      <xdr:nvSpPr>
        <xdr:cNvPr id="1" name="CasellaDiTesto 4"/>
        <xdr:cNvSpPr txBox="1">
          <a:spLocks noChangeArrowheads="1"/>
        </xdr:cNvSpPr>
      </xdr:nvSpPr>
      <xdr:spPr>
        <a:xfrm>
          <a:off x="28575" y="16325850"/>
          <a:ext cx="1495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L_12=RTln V_2/V_1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94</xdr:row>
      <xdr:rowOff>85725</xdr:rowOff>
    </xdr:from>
    <xdr:ext cx="1495425" cy="504825"/>
    <xdr:sp>
      <xdr:nvSpPr>
        <xdr:cNvPr id="1" name="CasellaDiTesto 1"/>
        <xdr:cNvSpPr txBox="1">
          <a:spLocks noChangeArrowheads="1"/>
        </xdr:cNvSpPr>
      </xdr:nvSpPr>
      <xdr:spPr>
        <a:xfrm>
          <a:off x="28575" y="18764250"/>
          <a:ext cx="1495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L_12=RTln V_2/V_1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32">
      <selection activeCell="N12" sqref="N12"/>
    </sheetView>
  </sheetViews>
  <sheetFormatPr defaultColWidth="9.140625" defaultRowHeight="15"/>
  <cols>
    <col min="1" max="1" width="16.140625" style="0" customWidth="1"/>
    <col min="2" max="2" width="10.7109375" style="0" customWidth="1"/>
    <col min="4" max="4" width="19.00390625" style="0" customWidth="1"/>
  </cols>
  <sheetData>
    <row r="1" spans="1:14" ht="15.75">
      <c r="A1" s="48" t="s">
        <v>0</v>
      </c>
      <c r="B1" s="4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2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2" t="s">
        <v>2</v>
      </c>
      <c r="B3" s="12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12" t="s">
        <v>4</v>
      </c>
      <c r="B4" s="12" t="s">
        <v>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12" t="s">
        <v>6</v>
      </c>
      <c r="B5" s="12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.75">
      <c r="A6" s="12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.75">
      <c r="A7" s="12" t="s">
        <v>9</v>
      </c>
      <c r="B7" s="12">
        <v>800</v>
      </c>
      <c r="C7" s="12" t="s">
        <v>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.75">
      <c r="A8" s="12" t="s">
        <v>11</v>
      </c>
      <c r="B8" s="12">
        <v>-950</v>
      </c>
      <c r="C8" s="12" t="s">
        <v>10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>
      <c r="A9" s="12" t="s">
        <v>12</v>
      </c>
      <c r="B9" s="12">
        <v>250</v>
      </c>
      <c r="C9" s="12" t="s">
        <v>10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.75">
      <c r="A10" s="12"/>
      <c r="B10" s="12"/>
      <c r="C10" s="1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5.75">
      <c r="A11" s="12"/>
      <c r="B11" s="12"/>
      <c r="C11" s="1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5.75">
      <c r="A12" s="12"/>
      <c r="B12" s="12"/>
      <c r="C12" s="1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.75">
      <c r="A13" s="12"/>
      <c r="B13" s="12"/>
      <c r="C13" s="1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.75">
      <c r="A14" s="12"/>
      <c r="B14" s="12"/>
      <c r="C14" s="1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>
      <c r="A15" s="12"/>
      <c r="B15" s="12"/>
      <c r="C15" s="1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5.75">
      <c r="A16" s="12"/>
      <c r="B16" s="12"/>
      <c r="C16" s="1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12"/>
      <c r="B17" s="12"/>
      <c r="C17" s="1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2"/>
      <c r="B18" s="12"/>
      <c r="C18" s="1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2"/>
      <c r="B19" s="12"/>
      <c r="C19" s="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>
      <c r="A20" s="12"/>
      <c r="B20" s="12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.75">
      <c r="A21" s="12"/>
      <c r="B21" s="12"/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>
      <c r="A22" s="12"/>
      <c r="B22" s="12"/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.75">
      <c r="A23" s="12"/>
      <c r="B23" s="12"/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.75">
      <c r="A24" s="12"/>
      <c r="B24" s="12"/>
      <c r="C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8"/>
    </row>
    <row r="26" spans="1:14" ht="15.75">
      <c r="A26" s="14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8"/>
    </row>
    <row r="27" spans="1:14" ht="18.75">
      <c r="A27" s="19" t="s">
        <v>14</v>
      </c>
      <c r="B27" s="12">
        <v>800</v>
      </c>
      <c r="C27" s="12" t="s">
        <v>10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8"/>
    </row>
    <row r="28" spans="1:14" ht="18.75">
      <c r="A28" s="19" t="s">
        <v>15</v>
      </c>
      <c r="B28" s="12">
        <v>-950</v>
      </c>
      <c r="C28" s="12" t="s">
        <v>10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8"/>
    </row>
    <row r="29" spans="1:14" ht="18.75">
      <c r="A29" s="19" t="s">
        <v>16</v>
      </c>
      <c r="B29" s="12">
        <v>250</v>
      </c>
      <c r="C29" s="12" t="s">
        <v>10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8"/>
    </row>
    <row r="30" spans="1:14" ht="18.75">
      <c r="A30" s="20" t="s">
        <v>17</v>
      </c>
      <c r="B30" s="12">
        <v>1</v>
      </c>
      <c r="C30" s="12" t="s">
        <v>18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8"/>
    </row>
    <row r="31" spans="1:14" ht="18.75">
      <c r="A31" s="20" t="s">
        <v>19</v>
      </c>
      <c r="B31" s="12">
        <v>2</v>
      </c>
      <c r="C31" s="12" t="s">
        <v>18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8"/>
    </row>
    <row r="32" spans="1:14" ht="18.75">
      <c r="A32" s="20" t="s">
        <v>20</v>
      </c>
      <c r="B32" s="10">
        <v>1</v>
      </c>
      <c r="C32" s="10" t="s">
        <v>21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8"/>
    </row>
    <row r="33" spans="1:14" ht="18.75">
      <c r="A33" s="20" t="s">
        <v>22</v>
      </c>
      <c r="B33" s="10">
        <v>3</v>
      </c>
      <c r="C33" s="10" t="s">
        <v>21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8"/>
    </row>
    <row r="34" spans="1:14" ht="15.75">
      <c r="A34" s="10"/>
      <c r="B34" s="10"/>
      <c r="C34" s="1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.75">
      <c r="A35" s="21" t="s">
        <v>23</v>
      </c>
      <c r="B35" s="10"/>
      <c r="C35" s="10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.75">
      <c r="A36" s="10" t="s">
        <v>24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5.75">
      <c r="A37" s="10" t="s">
        <v>25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>
      <c r="A38" s="20" t="s">
        <v>17</v>
      </c>
      <c r="B38" s="12">
        <f>1*100000</f>
        <v>100000</v>
      </c>
      <c r="C38" s="12" t="s">
        <v>26</v>
      </c>
      <c r="D38" s="18"/>
      <c r="E38" s="10" t="s">
        <v>27</v>
      </c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>
      <c r="A39" s="20" t="s">
        <v>19</v>
      </c>
      <c r="B39" s="12">
        <f>2*100000</f>
        <v>200000</v>
      </c>
      <c r="C39" s="12" t="s">
        <v>26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>
      <c r="A40" s="10" t="s">
        <v>28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>
      <c r="A41" s="20" t="s">
        <v>20</v>
      </c>
      <c r="B41" s="18">
        <f>B32/1000</f>
        <v>0.001</v>
      </c>
      <c r="C41" s="18" t="s">
        <v>29</v>
      </c>
      <c r="D41" s="18"/>
      <c r="E41" s="10" t="s">
        <v>30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>
      <c r="A42" s="20" t="s">
        <v>22</v>
      </c>
      <c r="B42" s="18">
        <f>B33/1000</f>
        <v>0.003</v>
      </c>
      <c r="C42" s="18" t="s">
        <v>29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5.75">
      <c r="A44" s="22" t="s">
        <v>31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5.75">
      <c r="A45" s="12" t="s">
        <v>32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>
      <c r="A46" s="12" t="s">
        <v>33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5.75">
      <c r="A48" s="18" t="s">
        <v>34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>
      <c r="A49" s="12" t="s">
        <v>35</v>
      </c>
      <c r="B49" s="18"/>
      <c r="C49" s="18"/>
      <c r="D49" s="18"/>
      <c r="E49" s="10">
        <f>(B39+B38)*(B42-B41)/2</f>
        <v>300</v>
      </c>
      <c r="F49" s="10" t="s">
        <v>10</v>
      </c>
      <c r="G49" s="18" t="s">
        <v>36</v>
      </c>
      <c r="H49" s="18"/>
      <c r="I49" s="18"/>
      <c r="J49" s="18"/>
      <c r="K49" s="18"/>
      <c r="L49" s="18"/>
      <c r="M49" s="18"/>
      <c r="N49" s="18"/>
    </row>
    <row r="50" spans="1:14" ht="15.75">
      <c r="A50" s="12" t="s">
        <v>37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5.75">
      <c r="A52" s="12" t="s">
        <v>38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5.75">
      <c r="A54" s="12" t="s">
        <v>39</v>
      </c>
      <c r="B54" s="18"/>
      <c r="C54" s="18"/>
      <c r="D54" s="18"/>
      <c r="E54" s="18"/>
      <c r="F54" s="18"/>
      <c r="G54" s="18"/>
      <c r="H54" s="12" t="s">
        <v>40</v>
      </c>
      <c r="I54" s="18"/>
      <c r="J54" s="18"/>
      <c r="K54" s="18"/>
      <c r="L54" s="18"/>
      <c r="M54" s="18"/>
      <c r="N54" s="18"/>
    </row>
    <row r="55" spans="1:14" ht="15.75">
      <c r="A55" s="10" t="s">
        <v>41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3" ht="15.75">
      <c r="A56" s="1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7.25">
      <c r="A57" s="18"/>
      <c r="B57" s="18"/>
      <c r="C57" s="18"/>
      <c r="D57" s="23" t="s">
        <v>42</v>
      </c>
      <c r="E57" s="18"/>
      <c r="F57" s="10">
        <f>B27-E49</f>
        <v>500</v>
      </c>
      <c r="G57" s="10" t="s">
        <v>10</v>
      </c>
      <c r="H57" s="18"/>
      <c r="I57" s="18"/>
      <c r="J57" s="18"/>
      <c r="K57" s="18"/>
      <c r="L57" s="18"/>
      <c r="M57" s="18"/>
    </row>
    <row r="58" spans="1:13" ht="15.75">
      <c r="A58" s="18"/>
      <c r="B58" s="18"/>
      <c r="C58" s="18"/>
      <c r="D58" s="23"/>
      <c r="E58" s="18"/>
      <c r="F58" s="10"/>
      <c r="G58" s="10"/>
      <c r="H58" s="18"/>
      <c r="I58" s="18"/>
      <c r="J58" s="18"/>
      <c r="K58" s="18"/>
      <c r="L58" s="18"/>
      <c r="M58" s="18"/>
    </row>
    <row r="59" spans="1:13" ht="15.75">
      <c r="A59" s="10" t="s">
        <v>43</v>
      </c>
      <c r="B59" s="10"/>
      <c r="C59" s="18"/>
      <c r="D59" s="23"/>
      <c r="E59" s="18"/>
      <c r="F59" s="10"/>
      <c r="G59" s="10"/>
      <c r="H59" s="18"/>
      <c r="I59" s="18"/>
      <c r="J59" s="18"/>
      <c r="K59" s="18"/>
      <c r="L59" s="18"/>
      <c r="M59" s="18"/>
    </row>
    <row r="60" spans="1:13" ht="17.25">
      <c r="A60" s="18"/>
      <c r="B60" s="18"/>
      <c r="C60" s="23" t="s">
        <v>44</v>
      </c>
      <c r="D60" s="18"/>
      <c r="E60" s="10">
        <f>F57+B38*B42-B39*B41</f>
        <v>600</v>
      </c>
      <c r="F60" s="10" t="s">
        <v>10</v>
      </c>
      <c r="G60" s="18"/>
      <c r="H60" s="18"/>
      <c r="I60" s="18"/>
      <c r="J60" s="18"/>
      <c r="K60" s="18"/>
      <c r="L60" s="18"/>
      <c r="M60" s="18"/>
    </row>
    <row r="61" spans="1:13" ht="15.75">
      <c r="A61" s="22"/>
      <c r="B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5.75">
      <c r="A62" s="22" t="s">
        <v>45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5.75">
      <c r="A63" s="12" t="s">
        <v>46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8.75">
      <c r="A64" s="12" t="s">
        <v>47</v>
      </c>
      <c r="B64" s="18"/>
      <c r="C64" s="18">
        <f>B38*(B41-B42)</f>
        <v>-200</v>
      </c>
      <c r="D64" s="10" t="s">
        <v>10</v>
      </c>
      <c r="E64" s="18" t="s">
        <v>48</v>
      </c>
      <c r="F64" s="18"/>
      <c r="G64" s="18"/>
      <c r="H64" s="18"/>
      <c r="I64" s="18"/>
      <c r="J64" s="18"/>
      <c r="K64" s="18"/>
      <c r="L64" s="18"/>
      <c r="M64" s="18"/>
    </row>
    <row r="65" spans="1:13" ht="15.75">
      <c r="A65" s="1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5.75">
      <c r="A66" s="12" t="s">
        <v>49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5.75">
      <c r="A68" s="12" t="s">
        <v>50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5.75">
      <c r="A70" s="12" t="s">
        <v>39</v>
      </c>
      <c r="B70" s="18"/>
      <c r="C70" s="18"/>
      <c r="D70" s="18"/>
      <c r="E70" s="18"/>
      <c r="F70" s="18"/>
      <c r="G70" s="18"/>
      <c r="H70" s="12" t="s">
        <v>40</v>
      </c>
      <c r="I70" s="18"/>
      <c r="J70" s="18"/>
      <c r="K70" s="18"/>
      <c r="L70" s="18"/>
      <c r="M70" s="18"/>
    </row>
    <row r="71" spans="1:13" ht="15.75">
      <c r="A71" s="10" t="s">
        <v>41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5.75">
      <c r="A72" s="1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6" ht="17.25">
      <c r="A73" s="18"/>
      <c r="B73" s="18"/>
      <c r="C73" s="18"/>
      <c r="D73" s="23" t="s">
        <v>51</v>
      </c>
      <c r="E73" s="18"/>
      <c r="F73" s="10">
        <f>B28-C64</f>
        <v>-750</v>
      </c>
      <c r="G73" s="10" t="s">
        <v>10</v>
      </c>
      <c r="H73" s="18"/>
      <c r="I73" s="18"/>
      <c r="K73" s="10"/>
      <c r="L73" s="18"/>
      <c r="M73" s="23"/>
      <c r="N73" s="18"/>
      <c r="O73" s="10"/>
      <c r="P73" s="10"/>
    </row>
    <row r="74" spans="1:16" ht="15.75">
      <c r="A74" s="18"/>
      <c r="B74" s="18"/>
      <c r="C74" s="18"/>
      <c r="D74" s="23"/>
      <c r="E74" s="18"/>
      <c r="F74" s="10"/>
      <c r="G74" s="10"/>
      <c r="H74" s="18"/>
      <c r="I74" s="18"/>
      <c r="J74" s="10"/>
      <c r="K74" s="10"/>
      <c r="L74" s="18"/>
      <c r="M74" s="23"/>
      <c r="N74" s="18"/>
      <c r="O74" s="10"/>
      <c r="P74" s="10"/>
    </row>
    <row r="75" spans="1:16" ht="15.75">
      <c r="A75" s="10" t="s">
        <v>52</v>
      </c>
      <c r="B75" s="18"/>
      <c r="C75" s="18"/>
      <c r="D75" s="23"/>
      <c r="E75" s="18"/>
      <c r="F75" s="10"/>
      <c r="G75" s="10"/>
      <c r="H75" s="18"/>
      <c r="I75" s="18"/>
      <c r="J75" s="10"/>
      <c r="K75" s="10"/>
      <c r="L75" s="18"/>
      <c r="M75" s="23"/>
      <c r="N75" s="18"/>
      <c r="O75" s="10"/>
      <c r="P75" s="10"/>
    </row>
    <row r="76" spans="1:16" ht="15.75">
      <c r="A76" s="18"/>
      <c r="B76" s="18"/>
      <c r="C76" s="18"/>
      <c r="H76" s="18"/>
      <c r="I76" s="18"/>
      <c r="J76" s="18"/>
      <c r="K76" s="18"/>
      <c r="P76" s="18"/>
    </row>
    <row r="77" spans="1:13" ht="17.25">
      <c r="A77" s="18"/>
      <c r="B77" s="18"/>
      <c r="C77" s="18"/>
      <c r="D77" s="23" t="s">
        <v>53</v>
      </c>
      <c r="E77" s="18"/>
      <c r="F77" s="10">
        <f>F73+B38*(B41-B42)</f>
        <v>-950</v>
      </c>
      <c r="G77" s="10" t="s">
        <v>10</v>
      </c>
      <c r="H77" s="18"/>
      <c r="I77" s="18"/>
      <c r="J77" s="18"/>
      <c r="K77" s="18"/>
      <c r="L77" s="18"/>
      <c r="M77" s="18"/>
    </row>
    <row r="78" spans="1:13" ht="15.75">
      <c r="A78" s="18"/>
      <c r="B78" s="18"/>
      <c r="C78" s="18"/>
      <c r="D78" s="23"/>
      <c r="E78" s="18"/>
      <c r="F78" s="10"/>
      <c r="G78" s="10"/>
      <c r="H78" s="18"/>
      <c r="I78" s="18"/>
      <c r="J78" s="18"/>
      <c r="K78" s="18"/>
      <c r="L78" s="18"/>
      <c r="M78" s="18"/>
    </row>
    <row r="79" spans="1:13" ht="15.75">
      <c r="A79" s="22" t="s">
        <v>54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5.75">
      <c r="A80" s="12" t="s">
        <v>55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8.75">
      <c r="A81" s="12" t="s">
        <v>47</v>
      </c>
      <c r="B81" s="18"/>
      <c r="C81" s="18">
        <f>B52*(B55-B56)</f>
        <v>0</v>
      </c>
      <c r="D81" s="10" t="s">
        <v>10</v>
      </c>
      <c r="E81" s="18" t="s">
        <v>48</v>
      </c>
      <c r="F81" s="18"/>
      <c r="G81" s="18"/>
      <c r="H81" s="18"/>
      <c r="I81" s="18"/>
      <c r="J81" s="18"/>
      <c r="K81" s="18"/>
      <c r="L81" s="18"/>
      <c r="M81" s="18"/>
    </row>
    <row r="82" spans="1:13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5.75">
      <c r="A83" s="12" t="s">
        <v>56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5.75">
      <c r="A85" s="12" t="s">
        <v>39</v>
      </c>
      <c r="B85" s="18"/>
      <c r="C85" s="18"/>
      <c r="D85" s="18"/>
      <c r="E85" s="18"/>
      <c r="F85" s="18"/>
      <c r="G85" s="18"/>
      <c r="H85" s="12" t="s">
        <v>40</v>
      </c>
      <c r="I85" s="18"/>
      <c r="J85" s="18"/>
      <c r="K85" s="18"/>
      <c r="L85" s="18"/>
      <c r="M85" s="18"/>
    </row>
    <row r="86" spans="1:13" ht="15.75">
      <c r="A86" s="10" t="s">
        <v>41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5.75">
      <c r="A87" s="12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7.25">
      <c r="A88" s="18"/>
      <c r="B88" s="18"/>
      <c r="C88" s="18"/>
      <c r="D88" s="23" t="s">
        <v>57</v>
      </c>
      <c r="E88" s="10">
        <f>B29</f>
        <v>250</v>
      </c>
      <c r="F88" s="10" t="s">
        <v>10</v>
      </c>
      <c r="G88" s="18"/>
      <c r="H88" s="18"/>
      <c r="I88" s="18"/>
      <c r="J88" s="18"/>
      <c r="K88" s="18"/>
      <c r="L88" s="18"/>
      <c r="M88" s="18"/>
    </row>
    <row r="89" spans="1:13" ht="15.75">
      <c r="A89" s="18"/>
      <c r="B89" s="18"/>
      <c r="C89" s="18"/>
      <c r="D89" s="23"/>
      <c r="E89" s="10"/>
      <c r="F89" s="10"/>
      <c r="G89" s="18"/>
      <c r="H89" s="18"/>
      <c r="I89" s="18"/>
      <c r="J89" s="18"/>
      <c r="K89" s="18"/>
      <c r="L89" s="18"/>
      <c r="M89" s="18"/>
    </row>
    <row r="90" spans="1:13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5.75">
      <c r="A91" s="21" t="s">
        <v>58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5.75">
      <c r="A92" s="12" t="s">
        <v>59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5.75">
      <c r="A93" s="12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8" customHeight="1">
      <c r="A94" s="24" t="s">
        <v>60</v>
      </c>
      <c r="B94" s="25" t="s">
        <v>61</v>
      </c>
      <c r="C94" s="24" t="s">
        <v>62</v>
      </c>
      <c r="D94" s="24" t="s">
        <v>63</v>
      </c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8" customHeight="1">
      <c r="A95" s="26" t="s">
        <v>64</v>
      </c>
      <c r="B95" s="26">
        <f>F57</f>
        <v>500</v>
      </c>
      <c r="C95" s="26">
        <f>B27</f>
        <v>800</v>
      </c>
      <c r="D95" s="26">
        <f>E49</f>
        <v>300</v>
      </c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8" customHeight="1">
      <c r="A96" s="26" t="s">
        <v>65</v>
      </c>
      <c r="B96" s="26">
        <f>F73</f>
        <v>-750</v>
      </c>
      <c r="C96" s="26">
        <f>B28</f>
        <v>-950</v>
      </c>
      <c r="D96" s="26">
        <f>C64</f>
        <v>-200</v>
      </c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8" customHeight="1">
      <c r="A97" s="26" t="s">
        <v>66</v>
      </c>
      <c r="B97" s="26">
        <f>E88</f>
        <v>250</v>
      </c>
      <c r="C97" s="26">
        <f>B29</f>
        <v>250</v>
      </c>
      <c r="D97" s="26">
        <v>0</v>
      </c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8" customHeight="1">
      <c r="A98" s="26" t="s">
        <v>67</v>
      </c>
      <c r="B98" s="26">
        <f>SUM(B95:B97)</f>
        <v>0</v>
      </c>
      <c r="C98" s="26">
        <f>SUM(C95:C97)</f>
        <v>100</v>
      </c>
      <c r="D98" s="26">
        <f>SUM(D95:D97)</f>
        <v>100</v>
      </c>
      <c r="E98" s="18"/>
      <c r="F98" s="18"/>
      <c r="G98" s="18"/>
      <c r="H98" s="18"/>
      <c r="I98" s="18"/>
      <c r="J98" s="18"/>
      <c r="K98" s="18"/>
      <c r="L98" s="18"/>
      <c r="M98" s="18"/>
    </row>
    <row r="99" ht="15">
      <c r="A99" s="17"/>
    </row>
  </sheetData>
  <sheetProtection/>
  <mergeCells count="2">
    <mergeCell ref="A25:M25"/>
    <mergeCell ref="A1:B1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5">
      <selection activeCell="D24" sqref="D24"/>
    </sheetView>
  </sheetViews>
  <sheetFormatPr defaultColWidth="9.140625" defaultRowHeight="15"/>
  <cols>
    <col min="1" max="1" width="11.7109375" style="0" customWidth="1"/>
    <col min="2" max="2" width="10.28125" style="0" customWidth="1"/>
    <col min="6" max="6" width="12.8515625" style="0" customWidth="1"/>
  </cols>
  <sheetData>
    <row r="1" spans="1:6" ht="15.75">
      <c r="A1" s="21" t="s">
        <v>68</v>
      </c>
      <c r="B1" s="10"/>
      <c r="C1" s="10"/>
      <c r="D1" s="10"/>
      <c r="E1" s="10"/>
      <c r="F1" s="10"/>
    </row>
    <row r="2" spans="1:6" ht="15.75">
      <c r="A2" s="10" t="s">
        <v>69</v>
      </c>
      <c r="B2" s="10"/>
      <c r="C2" s="10"/>
      <c r="D2" s="10"/>
      <c r="E2" s="10"/>
      <c r="F2" s="10"/>
    </row>
    <row r="3" spans="1:6" ht="15.75">
      <c r="A3" s="10" t="s">
        <v>70</v>
      </c>
      <c r="B3" s="10"/>
      <c r="C3" s="10"/>
      <c r="D3" s="10"/>
      <c r="E3" s="10"/>
      <c r="F3" s="10"/>
    </row>
    <row r="4" spans="1:6" ht="15.75">
      <c r="A4" s="10" t="s">
        <v>71</v>
      </c>
      <c r="B4" s="10"/>
      <c r="C4" s="10"/>
      <c r="D4" s="10"/>
      <c r="E4" s="10"/>
      <c r="F4" s="10"/>
    </row>
    <row r="5" spans="1:6" ht="15.75">
      <c r="A5" s="10" t="s">
        <v>72</v>
      </c>
      <c r="B5" s="10"/>
      <c r="C5" s="10"/>
      <c r="D5" s="10"/>
      <c r="E5" s="10"/>
      <c r="F5" s="10"/>
    </row>
    <row r="7" ht="15.75">
      <c r="A7" s="44" t="s">
        <v>13</v>
      </c>
    </row>
    <row r="8" spans="1:6" ht="18.75">
      <c r="A8" s="10" t="s">
        <v>271</v>
      </c>
      <c r="B8" s="10">
        <v>800</v>
      </c>
      <c r="C8" s="10" t="s">
        <v>73</v>
      </c>
      <c r="D8" s="10"/>
      <c r="E8" s="10"/>
      <c r="F8" s="10"/>
    </row>
    <row r="9" spans="1:8" ht="15.75">
      <c r="A9" s="10" t="s">
        <v>62</v>
      </c>
      <c r="B9" s="10">
        <v>-500</v>
      </c>
      <c r="C9" s="10" t="s">
        <v>73</v>
      </c>
      <c r="D9" s="10"/>
      <c r="E9" s="10"/>
      <c r="F9" s="10"/>
      <c r="H9" s="11"/>
    </row>
    <row r="10" spans="1:8" ht="15.75">
      <c r="A10" s="10" t="s">
        <v>63</v>
      </c>
      <c r="B10" s="10">
        <v>-100</v>
      </c>
      <c r="C10" s="10" t="s">
        <v>73</v>
      </c>
      <c r="D10" s="10"/>
      <c r="E10" s="10"/>
      <c r="F10" s="10"/>
      <c r="H10" s="1"/>
    </row>
    <row r="11" spans="1:8" ht="15.75">
      <c r="A11" s="10"/>
      <c r="B11" s="10"/>
      <c r="C11" s="10"/>
      <c r="D11" s="10"/>
      <c r="E11" s="10"/>
      <c r="F11" s="10"/>
      <c r="H11" s="1"/>
    </row>
    <row r="12" spans="5:6" ht="15.75">
      <c r="E12" s="10"/>
      <c r="F12" s="10"/>
    </row>
    <row r="13" spans="1:6" ht="15.75">
      <c r="A13" s="21" t="s">
        <v>23</v>
      </c>
      <c r="E13" s="10"/>
      <c r="F13" s="10"/>
    </row>
    <row r="14" spans="1:6" ht="15.75">
      <c r="A14" s="10" t="s">
        <v>74</v>
      </c>
      <c r="E14" s="10"/>
      <c r="F14" s="10"/>
    </row>
    <row r="15" spans="5:6" ht="15.75">
      <c r="E15" s="10"/>
      <c r="F15" s="10"/>
    </row>
    <row r="16" spans="1:6" ht="15.75">
      <c r="A16" s="10" t="s">
        <v>75</v>
      </c>
      <c r="C16" s="10"/>
      <c r="E16" s="10"/>
      <c r="F16" s="10"/>
    </row>
    <row r="17" spans="1:6" ht="15.75">
      <c r="A17" s="10" t="s">
        <v>76</v>
      </c>
      <c r="C17" s="10"/>
      <c r="D17" s="10"/>
      <c r="E17" s="10"/>
      <c r="F17" s="10"/>
    </row>
    <row r="18" spans="1:15" ht="15.75">
      <c r="A18" s="10" t="s">
        <v>77</v>
      </c>
      <c r="B18" s="10"/>
      <c r="C18" s="10">
        <f>B8+B9-B10</f>
        <v>400</v>
      </c>
      <c r="D18" s="10" t="s">
        <v>73</v>
      </c>
      <c r="E18" s="10" t="s">
        <v>78</v>
      </c>
      <c r="F18" s="10" t="s">
        <v>268</v>
      </c>
      <c r="G18" s="40">
        <f>C18-B8</f>
        <v>-400</v>
      </c>
      <c r="H18" s="10" t="s">
        <v>73</v>
      </c>
      <c r="L18" s="43" t="s">
        <v>269</v>
      </c>
      <c r="M18" s="20" t="s">
        <v>270</v>
      </c>
      <c r="N18" s="10">
        <f>B9-B10</f>
        <v>-400</v>
      </c>
      <c r="O18" s="10" t="s">
        <v>73</v>
      </c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 t="s">
        <v>272</v>
      </c>
      <c r="B20" s="10"/>
      <c r="C20" s="10"/>
      <c r="D20" s="10"/>
      <c r="E20" s="10"/>
      <c r="F20" s="10"/>
    </row>
    <row r="21" ht="15.75">
      <c r="A21" s="10" t="s">
        <v>79</v>
      </c>
    </row>
    <row r="22" ht="15.75">
      <c r="A22" s="10" t="s">
        <v>80</v>
      </c>
    </row>
    <row r="24" ht="15.75">
      <c r="A24" s="10" t="s">
        <v>81</v>
      </c>
    </row>
    <row r="25" spans="1:4" ht="15.75">
      <c r="A25" s="10" t="s">
        <v>273</v>
      </c>
      <c r="B25" s="10"/>
      <c r="C25" s="10">
        <f>-G18</f>
        <v>400</v>
      </c>
      <c r="D25" s="10" t="s">
        <v>73</v>
      </c>
    </row>
    <row r="26" ht="15.75">
      <c r="D26" s="10"/>
    </row>
    <row r="27" spans="1:4" ht="15.75">
      <c r="A27" s="10" t="s">
        <v>82</v>
      </c>
      <c r="B27" s="10"/>
      <c r="C27" s="10"/>
      <c r="D27" s="10"/>
    </row>
    <row r="28" spans="1:4" ht="15.75">
      <c r="A28" s="20" t="s">
        <v>83</v>
      </c>
      <c r="B28" s="10" t="s">
        <v>274</v>
      </c>
      <c r="C28" s="10" t="s">
        <v>73</v>
      </c>
      <c r="D28" s="10"/>
    </row>
    <row r="29" spans="1:4" ht="15.75">
      <c r="A29" s="10"/>
      <c r="B29" s="10"/>
      <c r="C29" s="10"/>
      <c r="D2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2">
      <selection activeCell="C32" sqref="C32"/>
    </sheetView>
  </sheetViews>
  <sheetFormatPr defaultColWidth="9.140625" defaultRowHeight="15"/>
  <cols>
    <col min="1" max="1" width="15.7109375" style="0" customWidth="1"/>
  </cols>
  <sheetData>
    <row r="1" spans="1:6" ht="15.75">
      <c r="A1" s="21" t="s">
        <v>84</v>
      </c>
      <c r="B1" s="10"/>
      <c r="C1" s="10"/>
      <c r="D1" s="10"/>
      <c r="E1" s="10"/>
      <c r="F1" s="10"/>
    </row>
    <row r="2" spans="1:6" ht="15.75">
      <c r="A2" s="10" t="s">
        <v>85</v>
      </c>
      <c r="B2" s="10"/>
      <c r="C2" s="10"/>
      <c r="D2" s="10"/>
      <c r="E2" s="10"/>
      <c r="F2" s="10"/>
    </row>
    <row r="3" spans="1:6" ht="15.75">
      <c r="A3" s="10" t="s">
        <v>86</v>
      </c>
      <c r="D3" s="10"/>
      <c r="E3" s="10"/>
      <c r="F3" s="10"/>
    </row>
    <row r="4" spans="1:6" ht="15.75">
      <c r="A4" s="10">
        <v>1</v>
      </c>
      <c r="B4" s="10" t="s">
        <v>87</v>
      </c>
      <c r="C4" s="10"/>
      <c r="D4" s="10"/>
      <c r="E4" s="10"/>
      <c r="F4" s="10"/>
    </row>
    <row r="5" spans="1:6" ht="15.75">
      <c r="A5" s="10">
        <v>2</v>
      </c>
      <c r="B5" s="10" t="s">
        <v>88</v>
      </c>
      <c r="C5" s="10"/>
      <c r="D5" s="10"/>
      <c r="E5" s="10"/>
      <c r="F5" s="10"/>
    </row>
    <row r="6" spans="1:3" ht="15.75">
      <c r="A6" s="10">
        <v>3</v>
      </c>
      <c r="B6" s="10" t="s">
        <v>89</v>
      </c>
      <c r="C6" s="10"/>
    </row>
    <row r="8" spans="1:3" ht="15.75">
      <c r="A8" s="10" t="s">
        <v>13</v>
      </c>
      <c r="B8" s="10"/>
      <c r="C8" s="10"/>
    </row>
    <row r="9" spans="1:3" ht="18">
      <c r="A9" s="10" t="s">
        <v>90</v>
      </c>
      <c r="B9" s="10">
        <v>100</v>
      </c>
      <c r="C9" s="10" t="s">
        <v>73</v>
      </c>
    </row>
    <row r="10" spans="1:3" ht="18">
      <c r="A10" s="10" t="s">
        <v>91</v>
      </c>
      <c r="B10" s="10">
        <v>60</v>
      </c>
      <c r="C10" s="10" t="s">
        <v>73</v>
      </c>
    </row>
    <row r="11" spans="1:3" ht="18">
      <c r="A11" s="10" t="s">
        <v>92</v>
      </c>
      <c r="B11" s="10">
        <v>-71</v>
      </c>
      <c r="C11" s="10" t="s">
        <v>73</v>
      </c>
    </row>
    <row r="13" ht="15.75">
      <c r="A13" s="21" t="s">
        <v>23</v>
      </c>
    </row>
    <row r="14" ht="15.75">
      <c r="A14" s="10" t="s">
        <v>93</v>
      </c>
    </row>
    <row r="16" spans="5:8" ht="17.25">
      <c r="E16" s="23" t="s">
        <v>94</v>
      </c>
      <c r="G16" s="10">
        <f>B9-B10</f>
        <v>40</v>
      </c>
      <c r="H16" s="10" t="s">
        <v>73</v>
      </c>
    </row>
    <row r="18" ht="15.75">
      <c r="A18" s="10" t="s">
        <v>95</v>
      </c>
    </row>
    <row r="19" ht="17.25">
      <c r="A19" s="23" t="s">
        <v>96</v>
      </c>
    </row>
    <row r="21" ht="15.75">
      <c r="A21" s="10" t="s">
        <v>78</v>
      </c>
    </row>
    <row r="22" spans="1:4" ht="17.25">
      <c r="A22" s="23" t="s">
        <v>97</v>
      </c>
      <c r="C22" s="10">
        <f>-G16</f>
        <v>-40</v>
      </c>
      <c r="D22" s="10" t="s">
        <v>73</v>
      </c>
    </row>
    <row r="24" ht="15.75">
      <c r="A24" s="10" t="s">
        <v>275</v>
      </c>
    </row>
    <row r="26" spans="1:4" ht="17.25">
      <c r="A26" s="23" t="s">
        <v>99</v>
      </c>
      <c r="C26">
        <f>C22+B11</f>
        <v>-111</v>
      </c>
      <c r="D26" s="10" t="s">
        <v>73</v>
      </c>
    </row>
    <row r="27" spans="1:4" ht="15.75">
      <c r="A27" s="23"/>
      <c r="D27" s="10"/>
    </row>
    <row r="28" spans="1:4" ht="15.75">
      <c r="A28" s="21" t="s">
        <v>58</v>
      </c>
      <c r="B28" s="18"/>
      <c r="C28" s="18"/>
      <c r="D28" s="18"/>
    </row>
    <row r="29" spans="1:4" ht="15.75">
      <c r="A29" s="12" t="s">
        <v>59</v>
      </c>
      <c r="B29" s="18"/>
      <c r="C29" s="18"/>
      <c r="D29" s="18"/>
    </row>
    <row r="30" spans="1:4" ht="15.75">
      <c r="A30" s="12"/>
      <c r="B30" s="18"/>
      <c r="C30" s="18"/>
      <c r="D30" s="18"/>
    </row>
    <row r="31" spans="1:4" ht="31.5">
      <c r="A31" s="24" t="s">
        <v>60</v>
      </c>
      <c r="B31" s="25" t="s">
        <v>61</v>
      </c>
      <c r="C31" s="24" t="s">
        <v>62</v>
      </c>
      <c r="D31" s="24" t="s">
        <v>63</v>
      </c>
    </row>
    <row r="32" spans="1:4" ht="15.75">
      <c r="A32" s="26">
        <v>1</v>
      </c>
      <c r="B32" s="26">
        <f>G16</f>
        <v>40</v>
      </c>
      <c r="C32" s="26">
        <f>B9</f>
        <v>100</v>
      </c>
      <c r="D32" s="26">
        <f>B10</f>
        <v>60</v>
      </c>
    </row>
    <row r="33" spans="1:4" ht="15.75">
      <c r="A33" s="26">
        <v>2</v>
      </c>
      <c r="B33" s="26">
        <f>C22</f>
        <v>-40</v>
      </c>
      <c r="C33" s="26">
        <f>C26</f>
        <v>-111</v>
      </c>
      <c r="D33" s="26">
        <f>B11</f>
        <v>-71</v>
      </c>
    </row>
    <row r="34" spans="1:4" ht="15.75">
      <c r="A34" s="26" t="s">
        <v>100</v>
      </c>
      <c r="B34" s="26">
        <f>SUM(B32:B33)</f>
        <v>0</v>
      </c>
      <c r="C34" s="26">
        <f>SUM(C32:C33)</f>
        <v>-11</v>
      </c>
      <c r="D34" s="26">
        <f>SUM(D32:D33)</f>
        <v>-11</v>
      </c>
    </row>
    <row r="37" ht="15.75">
      <c r="A37" s="12" t="s">
        <v>101</v>
      </c>
    </row>
    <row r="38" spans="1:4" ht="17.25">
      <c r="A38" s="23" t="s">
        <v>102</v>
      </c>
      <c r="C38" s="10">
        <f>C32+C33</f>
        <v>-11</v>
      </c>
      <c r="D38" s="10" t="s">
        <v>10</v>
      </c>
    </row>
    <row r="41" ht="15.75">
      <c r="A41" s="10" t="s">
        <v>103</v>
      </c>
    </row>
    <row r="42" spans="1:4" ht="17.25">
      <c r="A42" s="23" t="s">
        <v>104</v>
      </c>
      <c r="C42" s="10">
        <f>D32+D33+C37</f>
        <v>-11</v>
      </c>
      <c r="D42" s="10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0">
      <selection activeCell="D36" sqref="D36"/>
    </sheetView>
  </sheetViews>
  <sheetFormatPr defaultColWidth="9.140625" defaultRowHeight="15"/>
  <sheetData>
    <row r="1" spans="1:6" ht="15.75">
      <c r="A1" s="21" t="s">
        <v>105</v>
      </c>
      <c r="B1" s="10"/>
      <c r="C1" s="10"/>
      <c r="D1" s="10"/>
      <c r="E1" s="10"/>
      <c r="F1" s="10"/>
    </row>
    <row r="2" spans="1:6" ht="15.75">
      <c r="A2" s="13" t="s">
        <v>106</v>
      </c>
      <c r="B2" s="13"/>
      <c r="C2" s="13"/>
      <c r="D2" s="13"/>
      <c r="E2" s="13"/>
      <c r="F2" s="10"/>
    </row>
    <row r="3" spans="1:6" ht="15.75">
      <c r="A3" s="13" t="s">
        <v>107</v>
      </c>
      <c r="B3" s="13"/>
      <c r="C3" s="13"/>
      <c r="D3" s="13"/>
      <c r="E3" s="13"/>
      <c r="F3" s="10"/>
    </row>
    <row r="4" spans="1:6" ht="15.75">
      <c r="A4" s="13">
        <v>1</v>
      </c>
      <c r="B4" s="13" t="s">
        <v>87</v>
      </c>
      <c r="C4" s="13"/>
      <c r="D4" s="13"/>
      <c r="E4" s="13"/>
      <c r="F4" s="10"/>
    </row>
    <row r="5" spans="1:6" ht="15.75">
      <c r="A5" s="13">
        <v>2</v>
      </c>
      <c r="B5" s="13" t="s">
        <v>88</v>
      </c>
      <c r="C5" s="13"/>
      <c r="D5" s="13"/>
      <c r="E5" s="13"/>
      <c r="F5" s="10"/>
    </row>
    <row r="6" spans="1:6" ht="15.75">
      <c r="A6" s="13">
        <v>3</v>
      </c>
      <c r="B6" s="13" t="s">
        <v>89</v>
      </c>
      <c r="C6" s="13"/>
      <c r="D6" s="13"/>
      <c r="E6" s="13"/>
      <c r="F6" s="10"/>
    </row>
    <row r="7" spans="1:3" ht="15.75">
      <c r="A7" s="10"/>
      <c r="B7" s="10"/>
      <c r="C7" s="10"/>
    </row>
    <row r="9" spans="1:3" ht="15.75">
      <c r="A9" s="10" t="s">
        <v>13</v>
      </c>
      <c r="B9" s="10"/>
      <c r="C9" s="10"/>
    </row>
    <row r="10" spans="1:3" ht="18">
      <c r="A10" s="10" t="s">
        <v>90</v>
      </c>
      <c r="B10" s="10">
        <v>40</v>
      </c>
      <c r="C10" s="10" t="s">
        <v>73</v>
      </c>
    </row>
    <row r="11" spans="1:3" ht="18">
      <c r="A11" s="10" t="s">
        <v>91</v>
      </c>
      <c r="B11" s="10">
        <v>60</v>
      </c>
      <c r="C11" s="10" t="s">
        <v>73</v>
      </c>
    </row>
    <row r="12" spans="1:3" ht="18">
      <c r="A12" s="10" t="s">
        <v>92</v>
      </c>
      <c r="B12" s="10">
        <v>-45</v>
      </c>
      <c r="C12" s="10" t="s">
        <v>73</v>
      </c>
    </row>
    <row r="14" ht="15.75">
      <c r="A14" s="21" t="s">
        <v>23</v>
      </c>
    </row>
    <row r="15" ht="15.75">
      <c r="A15" s="10" t="s">
        <v>93</v>
      </c>
    </row>
    <row r="17" spans="5:8" ht="17.25">
      <c r="E17" s="23" t="s">
        <v>94</v>
      </c>
      <c r="G17" s="10">
        <f>B10-B11</f>
        <v>-20</v>
      </c>
      <c r="H17" s="10" t="s">
        <v>73</v>
      </c>
    </row>
    <row r="19" ht="15.75">
      <c r="A19" s="10" t="s">
        <v>95</v>
      </c>
    </row>
    <row r="20" ht="17.25">
      <c r="A20" s="23" t="s">
        <v>96</v>
      </c>
    </row>
    <row r="22" ht="15.75">
      <c r="A22" s="10" t="s">
        <v>78</v>
      </c>
    </row>
    <row r="23" spans="1:4" ht="17.25">
      <c r="A23" s="23" t="s">
        <v>97</v>
      </c>
      <c r="C23" s="10">
        <f>-G17</f>
        <v>20</v>
      </c>
      <c r="D23" s="10" t="s">
        <v>73</v>
      </c>
    </row>
    <row r="25" ht="15.75">
      <c r="A25" s="10" t="s">
        <v>98</v>
      </c>
    </row>
    <row r="27" spans="1:4" ht="17.25">
      <c r="A27" s="23" t="s">
        <v>99</v>
      </c>
      <c r="C27" s="10">
        <f>C23+B12</f>
        <v>-25</v>
      </c>
      <c r="D27" s="10" t="s">
        <v>73</v>
      </c>
    </row>
    <row r="28" spans="1:4" ht="15.75">
      <c r="A28" s="23"/>
      <c r="D28" s="10"/>
    </row>
    <row r="29" spans="1:4" ht="15.75">
      <c r="A29" s="21" t="s">
        <v>58</v>
      </c>
      <c r="B29" s="18"/>
      <c r="C29" s="18"/>
      <c r="D29" s="18"/>
    </row>
    <row r="30" spans="1:4" ht="15.75">
      <c r="A30" s="12" t="s">
        <v>59</v>
      </c>
      <c r="B30" s="18"/>
      <c r="C30" s="18"/>
      <c r="D30" s="18"/>
    </row>
    <row r="31" spans="1:4" ht="15.75">
      <c r="A31" s="12"/>
      <c r="B31" s="18"/>
      <c r="C31" s="18"/>
      <c r="D31" s="18"/>
    </row>
    <row r="32" spans="1:4" ht="31.5">
      <c r="A32" s="24" t="s">
        <v>60</v>
      </c>
      <c r="B32" s="25" t="s">
        <v>61</v>
      </c>
      <c r="C32" s="24" t="s">
        <v>62</v>
      </c>
      <c r="D32" s="24" t="s">
        <v>63</v>
      </c>
    </row>
    <row r="33" spans="1:4" ht="15.75">
      <c r="A33" s="26">
        <v>1</v>
      </c>
      <c r="B33" s="26">
        <f>G17</f>
        <v>-20</v>
      </c>
      <c r="C33" s="26">
        <f>B10</f>
        <v>40</v>
      </c>
      <c r="D33" s="26">
        <f>B11</f>
        <v>60</v>
      </c>
    </row>
    <row r="34" spans="1:4" ht="15.75">
      <c r="A34" s="26">
        <v>2</v>
      </c>
      <c r="B34" s="26">
        <f>C23</f>
        <v>20</v>
      </c>
      <c r="C34" s="26">
        <f>C27</f>
        <v>-25</v>
      </c>
      <c r="D34" s="26">
        <f>B12</f>
        <v>-45</v>
      </c>
    </row>
    <row r="35" spans="1:4" ht="15.75">
      <c r="A35" s="26" t="s">
        <v>100</v>
      </c>
      <c r="B35" s="26">
        <f>SUM(B33:B34)</f>
        <v>0</v>
      </c>
      <c r="C35" s="26">
        <f>SUM(C33:C34)</f>
        <v>15</v>
      </c>
      <c r="D35" s="26">
        <f>SUM(D33:D34)</f>
        <v>15</v>
      </c>
    </row>
    <row r="38" ht="15">
      <c r="A38" t="s">
        <v>101</v>
      </c>
    </row>
    <row r="39" spans="1:4" ht="17.25">
      <c r="A39" s="23" t="s">
        <v>102</v>
      </c>
      <c r="C39" s="10">
        <f>C33+C34</f>
        <v>15</v>
      </c>
      <c r="D39" s="10" t="s">
        <v>10</v>
      </c>
    </row>
    <row r="42" ht="15.75">
      <c r="A42" s="10" t="s">
        <v>103</v>
      </c>
    </row>
    <row r="43" spans="1:4" ht="17.25">
      <c r="A43" s="23" t="s">
        <v>104</v>
      </c>
      <c r="C43" s="10">
        <f>D33+D34+C38</f>
        <v>15</v>
      </c>
      <c r="D43" s="10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6.57421875" style="0" customWidth="1"/>
    <col min="2" max="2" width="7.57421875" style="0" customWidth="1"/>
    <col min="3" max="3" width="6.00390625" style="0" customWidth="1"/>
    <col min="4" max="6" width="11.421875" style="0" customWidth="1"/>
    <col min="7" max="7" width="11.140625" style="0" customWidth="1"/>
    <col min="8" max="8" width="12.00390625" style="0" customWidth="1"/>
    <col min="9" max="9" width="12.140625" style="0" customWidth="1"/>
    <col min="10" max="10" width="10.421875" style="0" customWidth="1"/>
    <col min="11" max="11" width="13.7109375" style="0" customWidth="1"/>
    <col min="14" max="14" width="12.8515625" style="0" customWidth="1"/>
  </cols>
  <sheetData>
    <row r="1" spans="1:11" ht="15.75">
      <c r="A1" s="21" t="s">
        <v>108</v>
      </c>
      <c r="B1" s="13"/>
      <c r="C1" s="13"/>
      <c r="D1" s="13"/>
      <c r="E1" s="13"/>
      <c r="F1" s="13"/>
      <c r="G1" s="13"/>
      <c r="K1" s="1"/>
    </row>
    <row r="2" spans="1:11" ht="15.75">
      <c r="A2" s="10" t="s">
        <v>131</v>
      </c>
      <c r="B2" s="13"/>
      <c r="C2" s="13"/>
      <c r="D2" s="13"/>
      <c r="E2" s="13"/>
      <c r="F2" s="13"/>
      <c r="G2" s="13"/>
      <c r="K2" s="1"/>
    </row>
    <row r="3" spans="1:11" ht="15.75">
      <c r="A3" s="10" t="s">
        <v>132</v>
      </c>
      <c r="B3" s="13"/>
      <c r="C3" s="13"/>
      <c r="D3" s="13"/>
      <c r="E3" s="13"/>
      <c r="F3" s="13"/>
      <c r="G3" s="13"/>
      <c r="K3" s="1"/>
    </row>
    <row r="4" spans="1:11" ht="18.75">
      <c r="A4" s="10" t="s">
        <v>109</v>
      </c>
      <c r="B4" s="13"/>
      <c r="C4" s="13"/>
      <c r="D4" s="13"/>
      <c r="E4" s="13"/>
      <c r="F4" s="13"/>
      <c r="G4" s="13"/>
      <c r="K4" s="1"/>
    </row>
    <row r="5" spans="1:11" ht="15.75">
      <c r="A5" s="10" t="s">
        <v>13</v>
      </c>
      <c r="B5" s="13"/>
      <c r="C5" s="13"/>
      <c r="D5" s="13"/>
      <c r="E5" s="13"/>
      <c r="F5" s="13"/>
      <c r="G5" s="13"/>
      <c r="K5" s="1"/>
    </row>
    <row r="6" spans="1:18" ht="15">
      <c r="A6" s="16"/>
      <c r="B6" s="13"/>
      <c r="C6" s="13"/>
      <c r="D6" s="13"/>
      <c r="E6" s="13"/>
      <c r="F6" s="13"/>
      <c r="G6" s="13"/>
      <c r="H6" s="3"/>
      <c r="M6" s="3"/>
      <c r="N6" s="3"/>
      <c r="O6" s="3"/>
      <c r="P6" s="3"/>
      <c r="R6" s="3"/>
    </row>
    <row r="7" spans="1:7" ht="18">
      <c r="A7" s="28" t="s">
        <v>110</v>
      </c>
      <c r="B7" s="13">
        <v>1500</v>
      </c>
      <c r="C7" s="13" t="s">
        <v>111</v>
      </c>
      <c r="D7" s="28">
        <f>B7/1000</f>
        <v>1.5</v>
      </c>
      <c r="E7" s="28" t="s">
        <v>283</v>
      </c>
      <c r="F7" s="13"/>
      <c r="G7" s="13"/>
    </row>
    <row r="8" spans="1:7" ht="16.5">
      <c r="A8" s="28" t="s">
        <v>287</v>
      </c>
      <c r="B8" s="13">
        <v>60</v>
      </c>
      <c r="C8" s="13" t="s">
        <v>113</v>
      </c>
      <c r="D8" s="28"/>
      <c r="E8" s="28"/>
      <c r="F8" s="13"/>
      <c r="G8" s="13"/>
    </row>
    <row r="9" spans="1:7" ht="18.75">
      <c r="A9" s="28" t="s">
        <v>114</v>
      </c>
      <c r="B9" s="13">
        <v>1000</v>
      </c>
      <c r="C9" s="13" t="s">
        <v>288</v>
      </c>
      <c r="D9" s="13"/>
      <c r="E9" s="28"/>
      <c r="F9" s="13"/>
      <c r="G9" s="13"/>
    </row>
    <row r="10" spans="1:11" ht="16.5">
      <c r="A10" s="28" t="s">
        <v>289</v>
      </c>
      <c r="B10" s="13">
        <v>4.2</v>
      </c>
      <c r="C10" s="13" t="s">
        <v>115</v>
      </c>
      <c r="D10" s="28"/>
      <c r="E10" s="28"/>
      <c r="F10" s="13"/>
      <c r="G10" s="28"/>
      <c r="I10" s="3"/>
      <c r="K10" s="3"/>
    </row>
    <row r="11" spans="1:11" ht="15">
      <c r="A11" s="28" t="s">
        <v>116</v>
      </c>
      <c r="B11" s="13">
        <v>50</v>
      </c>
      <c r="C11" s="13" t="s">
        <v>117</v>
      </c>
      <c r="D11" s="28">
        <f>B11/100</f>
        <v>0.5</v>
      </c>
      <c r="E11" s="28" t="s">
        <v>118</v>
      </c>
      <c r="F11" s="13"/>
      <c r="G11" s="28"/>
      <c r="I11" s="7"/>
      <c r="J11" s="3"/>
      <c r="K11" s="3"/>
    </row>
    <row r="12" spans="1:15" ht="15">
      <c r="A12" s="28" t="s">
        <v>119</v>
      </c>
      <c r="B12" s="13">
        <v>65</v>
      </c>
      <c r="C12" s="13" t="s">
        <v>117</v>
      </c>
      <c r="D12" s="28">
        <f>B12/100</f>
        <v>0.65</v>
      </c>
      <c r="E12" s="28" t="s">
        <v>118</v>
      </c>
      <c r="F12" s="13"/>
      <c r="G12" s="28"/>
      <c r="I12" s="7"/>
      <c r="J12" s="3"/>
      <c r="K12" s="3"/>
      <c r="O12" s="4"/>
    </row>
    <row r="13" spans="1:15" ht="16.5">
      <c r="A13" s="28" t="s">
        <v>290</v>
      </c>
      <c r="B13" s="13">
        <v>95</v>
      </c>
      <c r="C13" s="13" t="s">
        <v>113</v>
      </c>
      <c r="D13" s="28"/>
      <c r="E13" s="28"/>
      <c r="F13" s="28"/>
      <c r="G13" s="28"/>
      <c r="I13" s="7"/>
      <c r="J13" s="3"/>
      <c r="K13" s="3"/>
      <c r="L13" s="3"/>
      <c r="M13" s="3"/>
      <c r="O13" s="5"/>
    </row>
    <row r="14" spans="1:15" ht="18.75">
      <c r="A14" s="28" t="s">
        <v>120</v>
      </c>
      <c r="B14" s="13">
        <v>5500</v>
      </c>
      <c r="C14" s="13" t="s">
        <v>288</v>
      </c>
      <c r="D14" s="28"/>
      <c r="E14" s="28"/>
      <c r="F14" s="28"/>
      <c r="G14" s="28"/>
      <c r="H14" s="3"/>
      <c r="I14" s="3"/>
      <c r="J14" s="3"/>
      <c r="K14" s="3"/>
      <c r="L14" s="3"/>
      <c r="M14" s="3"/>
      <c r="O14" s="5"/>
    </row>
    <row r="15" spans="1:15" ht="16.5">
      <c r="A15" s="28" t="s">
        <v>133</v>
      </c>
      <c r="B15" s="13">
        <v>950</v>
      </c>
      <c r="C15" s="13" t="s">
        <v>121</v>
      </c>
      <c r="D15" s="28"/>
      <c r="E15" s="28"/>
      <c r="F15" s="28"/>
      <c r="G15" s="28"/>
      <c r="H15" s="3"/>
      <c r="I15" s="3"/>
      <c r="J15" s="3"/>
      <c r="K15" s="3"/>
      <c r="L15" s="3"/>
      <c r="M15" s="3"/>
      <c r="O15" s="5"/>
    </row>
    <row r="16" spans="1:14" ht="15">
      <c r="A16" s="28"/>
      <c r="B16" s="13"/>
      <c r="C16" s="13"/>
      <c r="D16" s="28"/>
      <c r="E16" s="28"/>
      <c r="F16" s="28"/>
      <c r="G16" s="28"/>
      <c r="H16" s="3"/>
      <c r="J16" s="3"/>
      <c r="K16" s="3"/>
      <c r="L16" s="3"/>
      <c r="M16" s="3"/>
      <c r="N16" s="4"/>
    </row>
    <row r="17" spans="1:14" ht="15">
      <c r="A17" s="13"/>
      <c r="B17" s="13"/>
      <c r="C17" s="13"/>
      <c r="D17" s="13"/>
      <c r="E17" s="13"/>
      <c r="F17" s="13"/>
      <c r="G17" s="13"/>
      <c r="I17" s="3"/>
      <c r="N17" s="4"/>
    </row>
    <row r="18" spans="1:7" ht="15.75">
      <c r="A18" s="10" t="s">
        <v>23</v>
      </c>
      <c r="B18" s="10"/>
      <c r="C18" s="10"/>
      <c r="D18" s="10"/>
      <c r="E18" s="10"/>
      <c r="F18" s="10"/>
      <c r="G18" s="13"/>
    </row>
    <row r="19" spans="1:8" ht="16.5">
      <c r="A19" s="10" t="s">
        <v>122</v>
      </c>
      <c r="B19" s="10"/>
      <c r="C19" s="10"/>
      <c r="D19" s="10"/>
      <c r="E19" s="10"/>
      <c r="F19" s="10" t="s">
        <v>281</v>
      </c>
      <c r="G19" s="13"/>
      <c r="H19" s="6"/>
    </row>
    <row r="20" spans="1:7" ht="15">
      <c r="A20" s="13"/>
      <c r="B20" s="15"/>
      <c r="C20" s="46"/>
      <c r="D20" s="46"/>
      <c r="E20" s="13"/>
      <c r="F20" s="46"/>
      <c r="G20" s="13"/>
    </row>
    <row r="21" spans="1:7" ht="18.75">
      <c r="A21" s="46" t="s">
        <v>282</v>
      </c>
      <c r="B21" s="10">
        <f>PI()*D11^2/4*D12</f>
        <v>0.12762720155208535</v>
      </c>
      <c r="C21" s="10" t="s">
        <v>283</v>
      </c>
      <c r="D21" s="15"/>
      <c r="E21" s="13"/>
      <c r="F21" s="15"/>
      <c r="G21" s="13"/>
    </row>
    <row r="22" spans="1:7" ht="15.75">
      <c r="A22" s="13"/>
      <c r="B22" s="10"/>
      <c r="C22" s="10"/>
      <c r="D22" s="13"/>
      <c r="E22" s="13"/>
      <c r="F22" s="13"/>
      <c r="G22" s="13"/>
    </row>
    <row r="23" spans="1:7" ht="15.75">
      <c r="A23" s="10" t="s">
        <v>123</v>
      </c>
      <c r="B23" s="10"/>
      <c r="C23" s="10"/>
      <c r="D23" s="13"/>
      <c r="E23" s="13"/>
      <c r="F23" s="13"/>
      <c r="G23" s="13"/>
    </row>
    <row r="24" spans="1:7" ht="16.5">
      <c r="A24" s="28" t="s">
        <v>284</v>
      </c>
      <c r="B24" s="10">
        <f>B14*B21</f>
        <v>701.9496085364694</v>
      </c>
      <c r="C24" s="10" t="s">
        <v>124</v>
      </c>
      <c r="D24" s="13"/>
      <c r="E24" s="13"/>
      <c r="F24" s="13"/>
      <c r="G24" s="13"/>
    </row>
    <row r="25" spans="1:10" ht="15.75">
      <c r="A25" s="13"/>
      <c r="B25" s="10"/>
      <c r="C25" s="10"/>
      <c r="D25" s="13"/>
      <c r="E25" s="13"/>
      <c r="F25" s="13"/>
      <c r="G25" s="13"/>
      <c r="J25" s="3"/>
    </row>
    <row r="26" spans="1:10" ht="15.75">
      <c r="A26" s="10" t="s">
        <v>125</v>
      </c>
      <c r="B26" s="10"/>
      <c r="C26" s="10"/>
      <c r="D26" s="13"/>
      <c r="E26" s="13"/>
      <c r="F26" s="13"/>
      <c r="G26" s="13"/>
      <c r="J26" s="3"/>
    </row>
    <row r="27" spans="1:10" ht="16.5">
      <c r="A27" s="28" t="s">
        <v>285</v>
      </c>
      <c r="B27" s="10">
        <f>B9*D7</f>
        <v>1500</v>
      </c>
      <c r="C27" s="10" t="s">
        <v>124</v>
      </c>
      <c r="D27" s="15"/>
      <c r="E27" s="15"/>
      <c r="F27" s="15"/>
      <c r="G27" s="13"/>
      <c r="J27" s="3"/>
    </row>
    <row r="28" spans="1:20" ht="15">
      <c r="A28" s="13"/>
      <c r="B28" s="13"/>
      <c r="C28" s="13"/>
      <c r="D28" s="13"/>
      <c r="E28" s="13"/>
      <c r="F28" s="13"/>
      <c r="G28" s="13"/>
      <c r="J28" s="3"/>
      <c r="R28" s="3"/>
      <c r="S28" s="3"/>
      <c r="T28" s="4"/>
    </row>
    <row r="29" spans="1:10" ht="15">
      <c r="A29" s="13"/>
      <c r="B29" s="13"/>
      <c r="C29" s="13"/>
      <c r="D29" s="13"/>
      <c r="E29" s="13"/>
      <c r="F29" s="13"/>
      <c r="G29" s="13"/>
      <c r="J29" s="3"/>
    </row>
    <row r="30" spans="1:10" ht="16.5">
      <c r="A30" s="10" t="s">
        <v>291</v>
      </c>
      <c r="B30" s="13"/>
      <c r="C30" s="13"/>
      <c r="D30" s="13"/>
      <c r="E30" s="10"/>
      <c r="F30" s="13"/>
      <c r="G30" s="13"/>
      <c r="J30" s="3"/>
    </row>
    <row r="31" spans="1:7" ht="15.75">
      <c r="A31" s="10" t="s">
        <v>126</v>
      </c>
      <c r="B31" s="13"/>
      <c r="C31" s="13"/>
      <c r="D31" s="13"/>
      <c r="E31" s="13"/>
      <c r="F31" s="13"/>
      <c r="G31" s="13"/>
    </row>
    <row r="32" spans="1:7" ht="15.75">
      <c r="A32" s="10" t="s">
        <v>127</v>
      </c>
      <c r="B32" s="13"/>
      <c r="C32" s="13"/>
      <c r="D32" s="13"/>
      <c r="E32" s="13"/>
      <c r="F32" s="13"/>
      <c r="G32" s="13"/>
    </row>
    <row r="33" spans="1:12" ht="15.75">
      <c r="A33" s="10" t="s">
        <v>128</v>
      </c>
      <c r="B33" s="13"/>
      <c r="C33" s="30"/>
      <c r="D33" s="30"/>
      <c r="E33" s="30"/>
      <c r="F33" s="30"/>
      <c r="G33" s="13"/>
      <c r="K33" s="8"/>
      <c r="L33" s="2"/>
    </row>
    <row r="34" spans="1:7" ht="15">
      <c r="A34" s="13"/>
      <c r="B34" s="13"/>
      <c r="C34" s="13"/>
      <c r="D34" s="13"/>
      <c r="E34" s="13"/>
      <c r="F34" s="13"/>
      <c r="G34" s="13"/>
    </row>
    <row r="35" spans="1:7" ht="15">
      <c r="A35" s="13"/>
      <c r="B35" s="13"/>
      <c r="C35" s="13"/>
      <c r="D35" s="13"/>
      <c r="E35" s="13"/>
      <c r="F35" s="13"/>
      <c r="G35" s="13"/>
    </row>
    <row r="36" spans="1:7" ht="15.75">
      <c r="A36" s="42" t="s">
        <v>286</v>
      </c>
      <c r="B36" s="13"/>
      <c r="C36" s="13"/>
      <c r="D36" s="13"/>
      <c r="E36" s="13"/>
      <c r="F36" s="13"/>
      <c r="G36" s="13"/>
    </row>
    <row r="37" spans="1:7" ht="17.25">
      <c r="A37" s="42" t="s">
        <v>292</v>
      </c>
      <c r="B37" s="13"/>
      <c r="C37" s="13"/>
      <c r="D37" s="13"/>
      <c r="E37" s="13"/>
      <c r="F37" s="13"/>
      <c r="G37" s="13"/>
    </row>
    <row r="38" spans="1:7" ht="15">
      <c r="A38" s="13"/>
      <c r="B38" s="13"/>
      <c r="C38" s="13"/>
      <c r="D38" s="13"/>
      <c r="E38" s="13"/>
      <c r="F38" s="13"/>
      <c r="G38" s="13"/>
    </row>
    <row r="39" spans="1:7" ht="15.75">
      <c r="A39" s="41" t="s">
        <v>129</v>
      </c>
      <c r="B39" s="13"/>
      <c r="C39" s="13"/>
      <c r="D39" s="13"/>
      <c r="E39" s="13"/>
      <c r="F39" s="13"/>
      <c r="G39" s="13"/>
    </row>
    <row r="40" spans="1:7" ht="15">
      <c r="A40" s="13"/>
      <c r="B40" s="13"/>
      <c r="C40" s="13"/>
      <c r="D40" s="13"/>
      <c r="E40" s="13"/>
      <c r="F40" s="13"/>
      <c r="G40" s="13"/>
    </row>
    <row r="41" spans="1:7" ht="18.75">
      <c r="A41" s="41" t="s">
        <v>276</v>
      </c>
      <c r="B41" s="41"/>
      <c r="C41" s="41"/>
      <c r="D41" s="41"/>
      <c r="E41" s="41"/>
      <c r="F41" s="41"/>
      <c r="G41" s="13"/>
    </row>
    <row r="42" spans="1:7" ht="15.75">
      <c r="A42" s="41"/>
      <c r="B42" s="41"/>
      <c r="C42" s="41"/>
      <c r="D42" s="41"/>
      <c r="E42" s="41"/>
      <c r="F42" s="41"/>
      <c r="G42" s="13"/>
    </row>
    <row r="43" spans="1:7" ht="18.75">
      <c r="A43" s="41" t="s">
        <v>277</v>
      </c>
      <c r="B43" s="41"/>
      <c r="C43" s="41"/>
      <c r="D43" s="41"/>
      <c r="E43" s="41"/>
      <c r="F43" s="41"/>
      <c r="G43" s="13"/>
    </row>
    <row r="44" spans="1:7" ht="15.75">
      <c r="A44" s="41"/>
      <c r="B44" s="41"/>
      <c r="C44" s="41"/>
      <c r="D44" s="41"/>
      <c r="E44" s="41"/>
      <c r="F44" s="41"/>
      <c r="G44" s="13"/>
    </row>
    <row r="45" spans="1:7" ht="18.75">
      <c r="A45" s="41" t="s">
        <v>278</v>
      </c>
      <c r="B45" s="41"/>
      <c r="C45" s="41"/>
      <c r="D45" s="41"/>
      <c r="E45" s="41"/>
      <c r="F45" s="41"/>
      <c r="G45" s="13"/>
    </row>
    <row r="46" spans="1:7" ht="15.75">
      <c r="A46" s="41"/>
      <c r="B46" s="41"/>
      <c r="C46" s="41"/>
      <c r="D46" s="41"/>
      <c r="E46" s="41"/>
      <c r="F46" s="41"/>
      <c r="G46" s="13"/>
    </row>
    <row r="47" spans="1:7" ht="18.75">
      <c r="A47" s="41" t="s">
        <v>279</v>
      </c>
      <c r="B47" s="41"/>
      <c r="C47" s="41"/>
      <c r="D47" s="41"/>
      <c r="E47" s="41"/>
      <c r="F47" s="41"/>
      <c r="G47" s="13"/>
    </row>
    <row r="48" spans="1:9" ht="15.75">
      <c r="A48" s="41"/>
      <c r="B48" s="41"/>
      <c r="C48" s="41"/>
      <c r="D48" s="41"/>
      <c r="E48" s="41"/>
      <c r="F48" s="41"/>
      <c r="G48" s="45"/>
      <c r="I48" s="9"/>
    </row>
    <row r="49" spans="1:7" ht="18.75">
      <c r="A49" s="41" t="s">
        <v>280</v>
      </c>
      <c r="B49" s="41"/>
      <c r="C49" s="41"/>
      <c r="D49" s="41"/>
      <c r="E49" s="41"/>
      <c r="F49" s="29">
        <f>(B15*B24*B13+B27*B10*1000*B8)/(B15*B24+B27*B10*1000)</f>
        <v>63.35012485619822</v>
      </c>
      <c r="G49" s="41" t="s">
        <v>113</v>
      </c>
    </row>
    <row r="51" ht="15">
      <c r="I51" s="9"/>
    </row>
    <row r="55" spans="7:12" ht="15">
      <c r="G55" s="6"/>
      <c r="K55" s="8"/>
      <c r="L55" s="2"/>
    </row>
    <row r="56" spans="9:10" ht="15">
      <c r="I56" s="6"/>
      <c r="J56" s="7"/>
    </row>
    <row r="57" ht="15">
      <c r="J57" s="6"/>
    </row>
    <row r="63" spans="7:12" ht="15">
      <c r="G63" s="6"/>
      <c r="K63" s="2"/>
      <c r="L63" s="2"/>
    </row>
    <row r="65" ht="15">
      <c r="J65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E49" sqref="E49"/>
    </sheetView>
  </sheetViews>
  <sheetFormatPr defaultColWidth="9.140625" defaultRowHeight="15"/>
  <cols>
    <col min="2" max="2" width="10.140625" style="0" customWidth="1"/>
    <col min="3" max="3" width="13.8515625" style="0" customWidth="1"/>
    <col min="4" max="4" width="14.421875" style="0" customWidth="1"/>
    <col min="5" max="5" width="11.140625" style="0" customWidth="1"/>
  </cols>
  <sheetData>
    <row r="1" spans="1:15" ht="15.75">
      <c r="A1" s="21" t="s">
        <v>130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>
      <c r="A2" s="10" t="s">
        <v>134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>
      <c r="A3" s="10" t="s">
        <v>135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.75">
      <c r="A4" s="10" t="s">
        <v>136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.75">
      <c r="A5" s="10" t="s">
        <v>137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10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>
      <c r="A7" s="10" t="s">
        <v>293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0" t="s">
        <v>294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0" t="s">
        <v>139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0" t="s">
        <v>140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0" t="s">
        <v>141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10" t="s">
        <v>142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0" t="s">
        <v>143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" t="s">
        <v>144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7" ht="15.75">
      <c r="A15" s="18"/>
      <c r="B15" s="18"/>
      <c r="C15" s="18"/>
      <c r="D15" s="18"/>
      <c r="E15" s="18"/>
      <c r="F15" s="18"/>
      <c r="G15" s="18"/>
    </row>
    <row r="16" spans="1:7" ht="15.75">
      <c r="A16" s="10" t="s">
        <v>13</v>
      </c>
      <c r="B16" s="18"/>
      <c r="C16" s="18"/>
      <c r="D16" s="18"/>
      <c r="E16" s="18"/>
      <c r="F16" s="18"/>
      <c r="G16" s="18"/>
    </row>
    <row r="17" spans="1:7" ht="15.75">
      <c r="A17" s="10" t="s">
        <v>118</v>
      </c>
      <c r="B17" s="10">
        <v>7.2</v>
      </c>
      <c r="C17" s="10" t="s">
        <v>124</v>
      </c>
      <c r="D17" s="18"/>
      <c r="E17" s="18"/>
      <c r="F17" s="18"/>
      <c r="G17" s="18"/>
    </row>
    <row r="18" spans="1:7" ht="15.75">
      <c r="A18" s="10" t="s">
        <v>145</v>
      </c>
      <c r="B18" s="10">
        <v>288</v>
      </c>
      <c r="C18" s="10" t="s">
        <v>146</v>
      </c>
      <c r="D18" s="18"/>
      <c r="E18" s="18"/>
      <c r="F18" s="18"/>
      <c r="G18" s="18"/>
    </row>
    <row r="19" spans="1:7" ht="18.75">
      <c r="A19" s="10" t="s">
        <v>147</v>
      </c>
      <c r="B19" s="10">
        <v>0.717</v>
      </c>
      <c r="C19" s="10" t="s">
        <v>148</v>
      </c>
      <c r="D19" s="18"/>
      <c r="E19" s="18"/>
      <c r="F19" s="18"/>
      <c r="G19" s="18"/>
    </row>
    <row r="20" spans="1:7" ht="18.75">
      <c r="A20" s="10" t="s">
        <v>149</v>
      </c>
      <c r="B20" s="10">
        <v>1.005</v>
      </c>
      <c r="C20" s="10" t="s">
        <v>148</v>
      </c>
      <c r="D20" s="18"/>
      <c r="E20" s="18"/>
      <c r="F20" s="18"/>
      <c r="G20" s="18"/>
    </row>
    <row r="21" spans="1:7" ht="18.75">
      <c r="A21" s="10" t="s">
        <v>150</v>
      </c>
      <c r="B21" s="10">
        <v>60</v>
      </c>
      <c r="C21" s="10" t="s">
        <v>151</v>
      </c>
      <c r="D21" s="18">
        <f>B21*101325</f>
        <v>6079500</v>
      </c>
      <c r="E21" s="18" t="s">
        <v>26</v>
      </c>
      <c r="F21" s="18"/>
      <c r="G21" s="18"/>
    </row>
    <row r="22" spans="1:7" ht="18.75">
      <c r="A22" s="10" t="s">
        <v>152</v>
      </c>
      <c r="B22" s="18">
        <f>100</f>
        <v>100</v>
      </c>
      <c r="C22" s="10" t="s">
        <v>111</v>
      </c>
      <c r="D22" s="10">
        <f>B22/1000</f>
        <v>0.1</v>
      </c>
      <c r="E22" s="10" t="s">
        <v>29</v>
      </c>
      <c r="F22" s="18"/>
      <c r="G22" s="18"/>
    </row>
    <row r="23" spans="1:7" ht="18.75">
      <c r="A23" s="10" t="s">
        <v>153</v>
      </c>
      <c r="B23" s="10">
        <v>300</v>
      </c>
      <c r="C23" s="10" t="s">
        <v>111</v>
      </c>
      <c r="D23" s="10">
        <f>B23/1000</f>
        <v>0.3</v>
      </c>
      <c r="E23" s="10" t="s">
        <v>29</v>
      </c>
      <c r="F23" s="18"/>
      <c r="G23" s="18"/>
    </row>
    <row r="24" spans="1:7" ht="15.75">
      <c r="A24" s="18"/>
      <c r="B24" s="18"/>
      <c r="C24" s="18"/>
      <c r="D24" s="18"/>
      <c r="E24" s="18"/>
      <c r="F24" s="18"/>
      <c r="G24" s="18"/>
    </row>
    <row r="25" spans="1:7" ht="15.75">
      <c r="A25" s="21" t="s">
        <v>23</v>
      </c>
      <c r="B25" s="18"/>
      <c r="C25" s="18"/>
      <c r="D25" s="18"/>
      <c r="E25" s="18"/>
      <c r="F25" s="18"/>
      <c r="G25" s="18"/>
    </row>
    <row r="26" spans="1:7" ht="15.75">
      <c r="A26" s="21" t="s">
        <v>154</v>
      </c>
      <c r="B26" s="18"/>
      <c r="C26" s="18"/>
      <c r="D26" s="18"/>
      <c r="E26" s="18"/>
      <c r="F26" s="18"/>
      <c r="G26" s="18"/>
    </row>
    <row r="27" spans="1:7" ht="15.75">
      <c r="A27" s="10" t="s">
        <v>155</v>
      </c>
      <c r="B27" s="10" t="s">
        <v>156</v>
      </c>
      <c r="C27" s="18"/>
      <c r="D27" s="18"/>
      <c r="E27" s="18"/>
      <c r="F27" s="18"/>
      <c r="G27" s="18"/>
    </row>
    <row r="28" spans="1:7" ht="18.75">
      <c r="A28" s="18"/>
      <c r="B28" s="10" t="s">
        <v>157</v>
      </c>
      <c r="C28" s="18"/>
      <c r="D28" s="18"/>
      <c r="E28" s="18"/>
      <c r="F28" s="18"/>
      <c r="G28" s="18"/>
    </row>
    <row r="29" spans="1:7" ht="15.75">
      <c r="A29" s="18"/>
      <c r="B29" s="18"/>
      <c r="C29" s="18"/>
      <c r="D29" s="18"/>
      <c r="E29" s="18"/>
      <c r="F29" s="18"/>
      <c r="G29" s="18"/>
    </row>
    <row r="30" spans="1:7" ht="18.75">
      <c r="A30" s="18"/>
      <c r="B30" s="10" t="s">
        <v>158</v>
      </c>
      <c r="C30" s="18"/>
      <c r="D30" s="18"/>
      <c r="E30" s="18"/>
      <c r="F30" s="18"/>
      <c r="G30" s="18"/>
    </row>
    <row r="31" spans="1:7" ht="18.75">
      <c r="A31" s="18"/>
      <c r="B31" s="10" t="s">
        <v>159</v>
      </c>
      <c r="C31" s="18"/>
      <c r="D31" s="10" t="s">
        <v>160</v>
      </c>
      <c r="E31" s="38">
        <f>D21*D22/(B17*B18)</f>
        <v>293.1857638888889</v>
      </c>
      <c r="F31" s="18" t="s">
        <v>161</v>
      </c>
      <c r="G31" s="18"/>
    </row>
    <row r="32" spans="1:7" ht="15.75">
      <c r="A32" s="18"/>
      <c r="B32" s="18"/>
      <c r="C32" s="18"/>
      <c r="D32" s="18"/>
      <c r="E32" s="18"/>
      <c r="F32" s="18"/>
      <c r="G32" s="18"/>
    </row>
    <row r="33" spans="1:7" ht="18.75">
      <c r="A33" s="18"/>
      <c r="B33" s="10" t="s">
        <v>157</v>
      </c>
      <c r="C33" s="38">
        <f>E31</f>
        <v>293.1857638888889</v>
      </c>
      <c r="D33" s="18" t="s">
        <v>161</v>
      </c>
      <c r="E33" s="18"/>
      <c r="F33" s="18"/>
      <c r="G33" s="18"/>
    </row>
    <row r="34" spans="1:7" ht="15.75">
      <c r="A34" s="18"/>
      <c r="B34" s="18"/>
      <c r="C34" s="18"/>
      <c r="D34" s="18"/>
      <c r="E34" s="18"/>
      <c r="F34" s="18"/>
      <c r="G34" s="18"/>
    </row>
    <row r="35" spans="1:7" ht="18.75">
      <c r="A35" s="18"/>
      <c r="B35" s="10" t="s">
        <v>162</v>
      </c>
      <c r="C35" s="18"/>
      <c r="D35" s="18"/>
      <c r="E35" s="18"/>
      <c r="F35" s="18"/>
      <c r="G35" s="18"/>
    </row>
    <row r="36" spans="1:7" ht="18.75">
      <c r="A36" s="18"/>
      <c r="B36" s="10" t="s">
        <v>163</v>
      </c>
      <c r="C36" s="18"/>
      <c r="D36" s="20" t="s">
        <v>164</v>
      </c>
      <c r="E36" s="10" t="s">
        <v>165</v>
      </c>
      <c r="F36" s="10">
        <f>B17*B18*C33/D23</f>
        <v>2026500</v>
      </c>
      <c r="G36" s="10" t="s">
        <v>26</v>
      </c>
    </row>
    <row r="38" spans="1:13" ht="15.75">
      <c r="A38" s="36" t="s">
        <v>166</v>
      </c>
      <c r="B38" s="10" t="s">
        <v>167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8.75">
      <c r="A40" s="18"/>
      <c r="B40" s="18"/>
      <c r="C40" s="18"/>
      <c r="D40" s="37">
        <f>B17*B18*C33*LN(D23/D22)</f>
        <v>667901.3408957772</v>
      </c>
      <c r="E40" s="37" t="s">
        <v>10</v>
      </c>
      <c r="F40" s="37">
        <f>D40/1000</f>
        <v>667.9013408957773</v>
      </c>
      <c r="G40" s="37" t="s">
        <v>73</v>
      </c>
      <c r="H40" s="37" t="s">
        <v>295</v>
      </c>
      <c r="I40" s="37"/>
      <c r="J40" s="37"/>
      <c r="K40" s="37"/>
      <c r="L40" s="37"/>
      <c r="M40" s="18"/>
    </row>
    <row r="41" spans="1:13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5.75">
      <c r="A43" s="36" t="s">
        <v>168</v>
      </c>
      <c r="B43" s="10" t="s">
        <v>169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5.75">
      <c r="A45" s="18"/>
      <c r="B45" s="10" t="s">
        <v>170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5.75">
      <c r="A46" s="18"/>
      <c r="B46" s="23" t="s">
        <v>171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5.75">
      <c r="A47" s="18"/>
      <c r="B47" s="23" t="s">
        <v>172</v>
      </c>
      <c r="C47" s="10" t="s">
        <v>78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7.25">
      <c r="A48" s="18"/>
      <c r="B48" s="23" t="s">
        <v>173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7.25">
      <c r="A49" s="18"/>
      <c r="B49" s="23" t="s">
        <v>174</v>
      </c>
      <c r="C49" s="36">
        <f>F40</f>
        <v>667.9013408957773</v>
      </c>
      <c r="D49" s="10" t="s">
        <v>73</v>
      </c>
      <c r="E49" s="18"/>
      <c r="F49" s="18"/>
      <c r="G49" s="18"/>
      <c r="H49" s="18"/>
      <c r="I49" s="18"/>
      <c r="J49" s="18"/>
      <c r="K49" s="18"/>
      <c r="L49" s="18"/>
      <c r="M49" s="18"/>
    </row>
    <row r="51" spans="1:11" ht="15.75">
      <c r="A51" s="21" t="s">
        <v>175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7.25">
      <c r="A52" s="36" t="s">
        <v>176</v>
      </c>
      <c r="B52" s="10" t="s">
        <v>177</v>
      </c>
      <c r="C52" s="23" t="s">
        <v>178</v>
      </c>
      <c r="D52" s="10"/>
      <c r="E52" s="10"/>
      <c r="F52" s="18"/>
      <c r="G52" s="18"/>
      <c r="H52" s="18"/>
      <c r="I52" s="18"/>
      <c r="J52" s="18"/>
      <c r="K52" s="18"/>
    </row>
    <row r="53" spans="1:11" ht="15.75">
      <c r="A53" s="18"/>
      <c r="B53" s="10"/>
      <c r="C53" s="10"/>
      <c r="D53" s="10"/>
      <c r="E53" s="10"/>
      <c r="F53" s="18"/>
      <c r="G53" s="18"/>
      <c r="H53" s="18"/>
      <c r="I53" s="18"/>
      <c r="J53" s="18"/>
      <c r="K53" s="18"/>
    </row>
    <row r="54" spans="1:11" ht="15.75">
      <c r="A54" s="18"/>
      <c r="B54" s="10" t="s">
        <v>179</v>
      </c>
      <c r="C54" s="10"/>
      <c r="D54" s="10"/>
      <c r="E54" s="10"/>
      <c r="F54" s="18"/>
      <c r="G54" s="18"/>
      <c r="H54" s="18"/>
      <c r="I54" s="18"/>
      <c r="J54" s="18"/>
      <c r="K54" s="18"/>
    </row>
    <row r="55" spans="1:11" ht="15.75">
      <c r="A55" s="18"/>
      <c r="B55" s="10" t="s">
        <v>171</v>
      </c>
      <c r="C55" s="10"/>
      <c r="D55" s="10"/>
      <c r="E55" s="10"/>
      <c r="F55" s="18"/>
      <c r="G55" s="18"/>
      <c r="H55" s="18"/>
      <c r="I55" s="18"/>
      <c r="J55" s="18"/>
      <c r="K55" s="18"/>
    </row>
    <row r="56" spans="1:11" ht="18.75">
      <c r="A56" s="18"/>
      <c r="B56" s="10" t="s">
        <v>180</v>
      </c>
      <c r="C56" s="10"/>
      <c r="D56" s="10"/>
      <c r="E56" s="10"/>
      <c r="F56" s="18"/>
      <c r="G56" s="18"/>
      <c r="H56" s="18"/>
      <c r="I56" s="18"/>
      <c r="J56" s="18"/>
      <c r="K56" s="18"/>
    </row>
    <row r="57" spans="1:11" ht="17.25">
      <c r="A57" s="18"/>
      <c r="B57" s="18"/>
      <c r="C57" s="23" t="s">
        <v>181</v>
      </c>
      <c r="D57" s="18"/>
      <c r="E57" s="18"/>
      <c r="F57" s="18"/>
      <c r="G57" s="18"/>
      <c r="H57" s="18"/>
      <c r="I57" s="18"/>
      <c r="J57" s="18"/>
      <c r="K57" s="18"/>
    </row>
    <row r="58" spans="1:1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8.75">
      <c r="A59" s="18"/>
      <c r="B59" s="10" t="s">
        <v>182</v>
      </c>
      <c r="C59" s="10"/>
      <c r="D59" s="10"/>
      <c r="E59" s="10"/>
      <c r="F59" s="10"/>
      <c r="G59" s="10"/>
      <c r="H59" s="10"/>
      <c r="I59" s="10"/>
      <c r="J59" s="10"/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8.75">
      <c r="A61" s="18"/>
      <c r="B61" s="10" t="s">
        <v>183</v>
      </c>
      <c r="C61" s="18"/>
      <c r="D61" s="10" t="s">
        <v>184</v>
      </c>
      <c r="E61" s="37">
        <f>D21*D23/(B17*B18)</f>
        <v>879.5572916666667</v>
      </c>
      <c r="F61" s="37" t="s">
        <v>161</v>
      </c>
      <c r="G61" s="18"/>
      <c r="H61" s="18"/>
      <c r="I61" s="18"/>
      <c r="J61" s="18"/>
      <c r="K61" s="18"/>
    </row>
    <row r="62" spans="1:11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7.25">
      <c r="A63" s="18"/>
      <c r="B63" s="18"/>
      <c r="C63" s="23" t="s">
        <v>185</v>
      </c>
      <c r="D63" s="18"/>
      <c r="E63" s="18"/>
      <c r="F63" s="36">
        <f>B17*B19*(E61-C33)</f>
        <v>3027.0843750000004</v>
      </c>
      <c r="G63" s="36" t="s">
        <v>73</v>
      </c>
      <c r="H63" s="36" t="s">
        <v>186</v>
      </c>
      <c r="I63" s="18"/>
      <c r="J63" s="18"/>
      <c r="K63" s="18"/>
    </row>
    <row r="64" spans="1:11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ht="15">
      <c r="A65" s="16" t="s">
        <v>187</v>
      </c>
    </row>
    <row r="66" spans="1:8" ht="15">
      <c r="A66" s="33" t="s">
        <v>188</v>
      </c>
      <c r="B66" s="13" t="s">
        <v>189</v>
      </c>
      <c r="C66" s="13"/>
      <c r="D66" s="13"/>
      <c r="E66" s="13"/>
      <c r="F66" s="13"/>
      <c r="G66" s="13"/>
      <c r="H66" s="13"/>
    </row>
    <row r="67" spans="2:8" ht="15">
      <c r="B67" s="13" t="s">
        <v>190</v>
      </c>
      <c r="C67" s="13"/>
      <c r="D67" s="13"/>
      <c r="E67" s="13"/>
      <c r="F67" s="13"/>
      <c r="G67" s="13"/>
      <c r="H67" s="13"/>
    </row>
    <row r="68" spans="2:8" ht="16.5">
      <c r="B68" s="13" t="s">
        <v>191</v>
      </c>
      <c r="C68" s="13"/>
      <c r="D68" s="13">
        <f>D21*(D22-D23)</f>
        <v>-1215900</v>
      </c>
      <c r="E68" s="13" t="s">
        <v>10</v>
      </c>
      <c r="F68" s="13">
        <f>D68/1000</f>
        <v>-1215.9</v>
      </c>
      <c r="G68" s="13" t="s">
        <v>73</v>
      </c>
      <c r="H68" s="13"/>
    </row>
    <row r="69" spans="2:8" ht="15">
      <c r="B69" s="13"/>
      <c r="C69" s="13"/>
      <c r="D69" s="13"/>
      <c r="E69" s="13"/>
      <c r="F69" s="13"/>
      <c r="G69" s="13"/>
      <c r="H69" s="13"/>
    </row>
    <row r="70" spans="2:8" ht="15.75">
      <c r="B70" s="10" t="s">
        <v>192</v>
      </c>
      <c r="C70" s="10"/>
      <c r="D70" s="10"/>
      <c r="E70" s="10"/>
      <c r="F70" s="10"/>
      <c r="G70" s="13"/>
      <c r="H70" s="13"/>
    </row>
    <row r="71" spans="2:6" ht="18.75">
      <c r="B71" s="27" t="s">
        <v>193</v>
      </c>
      <c r="C71" s="18"/>
      <c r="D71" s="18"/>
      <c r="E71" s="36">
        <f>B17*B20*(C33-E61)</f>
        <v>-4242.984375</v>
      </c>
      <c r="F71" s="10" t="s">
        <v>73</v>
      </c>
    </row>
    <row r="73" spans="2:5" ht="18.75">
      <c r="B73" s="49" t="s">
        <v>194</v>
      </c>
      <c r="C73" s="49"/>
      <c r="D73" s="35">
        <f>E71-F68</f>
        <v>-3027.084375</v>
      </c>
      <c r="E73" s="34" t="s">
        <v>73</v>
      </c>
    </row>
    <row r="74" spans="1:5" ht="15">
      <c r="A74" s="16" t="s">
        <v>58</v>
      </c>
      <c r="E74" s="7"/>
    </row>
    <row r="75" spans="1:5" ht="15">
      <c r="A75" s="33" t="s">
        <v>195</v>
      </c>
      <c r="B75" s="13" t="s">
        <v>196</v>
      </c>
      <c r="E75" s="7"/>
    </row>
    <row r="76" ht="15">
      <c r="E76" s="7"/>
    </row>
    <row r="77" spans="2:7" ht="18.75">
      <c r="B77" s="27" t="s">
        <v>197</v>
      </c>
      <c r="D77" s="35">
        <f>F40+F68</f>
        <v>-547.9986591042228</v>
      </c>
      <c r="E77" s="34" t="s">
        <v>73</v>
      </c>
      <c r="F77" s="10" t="s">
        <v>180</v>
      </c>
      <c r="G77" s="18"/>
    </row>
    <row r="78" spans="4:5" ht="15.75">
      <c r="D78" s="35"/>
      <c r="E78" s="34"/>
    </row>
    <row r="79" spans="2:5" ht="18">
      <c r="B79" s="27" t="s">
        <v>198</v>
      </c>
      <c r="D79" s="35">
        <f>C49+F63+E71</f>
        <v>-547.9986591042225</v>
      </c>
      <c r="E79" s="34" t="s">
        <v>73</v>
      </c>
    </row>
    <row r="81" spans="1:2" ht="15.75">
      <c r="A81" s="27" t="s">
        <v>199</v>
      </c>
      <c r="B81" s="27" t="s">
        <v>200</v>
      </c>
    </row>
    <row r="82" spans="1:3" ht="17.25">
      <c r="A82" s="27"/>
      <c r="B82" s="27"/>
      <c r="C82" s="23" t="s">
        <v>201</v>
      </c>
    </row>
    <row r="83" spans="1:2" ht="15.75">
      <c r="A83" s="27"/>
      <c r="B83" s="27" t="s">
        <v>202</v>
      </c>
    </row>
    <row r="84" ht="17.25">
      <c r="C84" s="23" t="s">
        <v>203</v>
      </c>
    </row>
    <row r="85" spans="3:5" ht="17.25">
      <c r="C85" s="23" t="s">
        <v>204</v>
      </c>
      <c r="D85" s="35">
        <f>D77</f>
        <v>-547.9986591042228</v>
      </c>
      <c r="E85" s="27" t="s">
        <v>73</v>
      </c>
    </row>
    <row r="87" ht="15.75">
      <c r="B87" s="27" t="s">
        <v>205</v>
      </c>
    </row>
  </sheetData>
  <sheetProtection/>
  <mergeCells count="1">
    <mergeCell ref="B73:C73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43">
      <selection activeCell="I12" sqref="I12"/>
    </sheetView>
  </sheetViews>
  <sheetFormatPr defaultColWidth="9.140625" defaultRowHeight="15"/>
  <cols>
    <col min="1" max="1" width="13.57421875" style="0" customWidth="1"/>
  </cols>
  <sheetData>
    <row r="1" ht="15">
      <c r="A1" s="16" t="s">
        <v>296</v>
      </c>
    </row>
    <row r="2" ht="18.75">
      <c r="A2" s="13" t="s">
        <v>207</v>
      </c>
    </row>
    <row r="3" ht="15">
      <c r="A3" s="13" t="s">
        <v>208</v>
      </c>
    </row>
    <row r="4" ht="18.75">
      <c r="A4" s="13" t="s">
        <v>209</v>
      </c>
    </row>
    <row r="5" ht="16.5">
      <c r="A5" s="13" t="s">
        <v>210</v>
      </c>
    </row>
    <row r="6" ht="16.5">
      <c r="A6" s="13" t="s">
        <v>211</v>
      </c>
    </row>
    <row r="9" ht="15">
      <c r="A9" s="2" t="s">
        <v>13</v>
      </c>
    </row>
    <row r="10" spans="1:5" ht="16.5">
      <c r="A10" s="13" t="s">
        <v>212</v>
      </c>
      <c r="B10" s="13">
        <v>58</v>
      </c>
      <c r="C10" s="13" t="s">
        <v>151</v>
      </c>
      <c r="D10" s="13">
        <f>B10*101325</f>
        <v>5876850</v>
      </c>
      <c r="E10" s="13" t="s">
        <v>26</v>
      </c>
    </row>
    <row r="11" spans="1:5" ht="16.5">
      <c r="A11" s="13" t="s">
        <v>213</v>
      </c>
      <c r="B11" s="13">
        <v>20</v>
      </c>
      <c r="C11" s="13" t="s">
        <v>113</v>
      </c>
      <c r="D11" s="13">
        <f>B11+273</f>
        <v>293</v>
      </c>
      <c r="E11" s="13" t="s">
        <v>161</v>
      </c>
    </row>
    <row r="12" spans="1:4" ht="18">
      <c r="A12" s="13" t="s">
        <v>214</v>
      </c>
      <c r="B12" s="13">
        <v>0.1</v>
      </c>
      <c r="C12" s="13" t="s">
        <v>112</v>
      </c>
      <c r="D12" s="13"/>
    </row>
    <row r="13" spans="1:4" ht="18">
      <c r="A13" s="13" t="s">
        <v>215</v>
      </c>
      <c r="B13" s="13">
        <v>0.3</v>
      </c>
      <c r="C13" s="13" t="s">
        <v>112</v>
      </c>
      <c r="D13" s="13"/>
    </row>
    <row r="14" spans="1:4" ht="15">
      <c r="A14" s="13" t="s">
        <v>145</v>
      </c>
      <c r="B14" s="13">
        <v>287</v>
      </c>
      <c r="C14" s="13" t="s">
        <v>146</v>
      </c>
      <c r="D14" s="13"/>
    </row>
    <row r="15" spans="1:4" ht="16.5">
      <c r="A15" s="13" t="s">
        <v>216</v>
      </c>
      <c r="B15" s="13">
        <v>0.717</v>
      </c>
      <c r="C15" s="13" t="s">
        <v>148</v>
      </c>
      <c r="D15" s="13"/>
    </row>
    <row r="16" spans="1:4" ht="16.5">
      <c r="A16" s="13" t="s">
        <v>217</v>
      </c>
      <c r="B16" s="13">
        <v>1.005</v>
      </c>
      <c r="C16" s="13" t="s">
        <v>148</v>
      </c>
      <c r="D16" s="13"/>
    </row>
    <row r="17" spans="2:4" ht="15">
      <c r="B17" s="13"/>
      <c r="C17" s="13"/>
      <c r="D17" s="13"/>
    </row>
    <row r="18" ht="15">
      <c r="A18" s="16" t="s">
        <v>23</v>
      </c>
    </row>
    <row r="19" ht="15">
      <c r="A19" s="13" t="s">
        <v>218</v>
      </c>
    </row>
    <row r="20" ht="15">
      <c r="A20" s="13" t="s">
        <v>219</v>
      </c>
    </row>
    <row r="22" spans="1:4" ht="15">
      <c r="A22" s="13" t="s">
        <v>220</v>
      </c>
      <c r="B22" s="13"/>
      <c r="C22" s="13"/>
      <c r="D22" s="13"/>
    </row>
    <row r="23" spans="1:4" ht="15">
      <c r="A23" s="13" t="s">
        <v>221</v>
      </c>
      <c r="B23" s="13"/>
      <c r="C23" s="13"/>
      <c r="D23" s="13"/>
    </row>
    <row r="24" spans="1:4" ht="16.5">
      <c r="A24" s="13" t="s">
        <v>222</v>
      </c>
      <c r="B24" s="13"/>
      <c r="C24" s="13"/>
      <c r="D24" s="13"/>
    </row>
    <row r="25" spans="1:4" ht="18.75">
      <c r="A25" s="13" t="s">
        <v>223</v>
      </c>
      <c r="B25" s="13" t="s">
        <v>224</v>
      </c>
      <c r="C25" s="13">
        <f>B14*D11/D10</f>
        <v>0.014308855934726937</v>
      </c>
      <c r="D25" s="13" t="s">
        <v>225</v>
      </c>
    </row>
    <row r="27" ht="15">
      <c r="A27" s="13" t="s">
        <v>226</v>
      </c>
    </row>
    <row r="28" spans="1:3" ht="16.5">
      <c r="A28" s="13" t="s">
        <v>227</v>
      </c>
      <c r="B28" s="30">
        <f>B12/C25</f>
        <v>6.988678931157913</v>
      </c>
      <c r="C28" s="30" t="s">
        <v>124</v>
      </c>
    </row>
    <row r="29" ht="15">
      <c r="A29" s="13"/>
    </row>
    <row r="30" ht="15">
      <c r="A30" s="13" t="s">
        <v>228</v>
      </c>
    </row>
    <row r="31" ht="15">
      <c r="A31" s="13"/>
    </row>
    <row r="32" spans="1:3" ht="18">
      <c r="A32" s="13" t="s">
        <v>229</v>
      </c>
      <c r="B32" s="30">
        <f>B13/B28</f>
        <v>0.042926567804180804</v>
      </c>
      <c r="C32" s="30" t="s">
        <v>225</v>
      </c>
    </row>
    <row r="34" spans="1:7" ht="15">
      <c r="A34" s="13" t="s">
        <v>230</v>
      </c>
      <c r="B34" s="13"/>
      <c r="C34" s="13"/>
      <c r="D34" s="13"/>
      <c r="E34" s="13"/>
      <c r="F34" s="13"/>
      <c r="G34" s="13"/>
    </row>
    <row r="35" spans="2:7" ht="15">
      <c r="B35" s="13"/>
      <c r="C35" s="13"/>
      <c r="D35" s="13"/>
      <c r="E35" s="13"/>
      <c r="F35" s="13"/>
      <c r="G35" s="13"/>
    </row>
    <row r="36" spans="1:7" ht="16.5">
      <c r="A36" s="13" t="s">
        <v>231</v>
      </c>
      <c r="B36" s="13">
        <f>D10</f>
        <v>5876850</v>
      </c>
      <c r="C36" s="13" t="s">
        <v>26</v>
      </c>
      <c r="D36" s="13"/>
      <c r="E36" s="13"/>
      <c r="F36" s="13"/>
      <c r="G36" s="13"/>
    </row>
    <row r="37" spans="1:7" ht="18">
      <c r="A37" s="13" t="s">
        <v>215</v>
      </c>
      <c r="B37" s="13">
        <f>B13</f>
        <v>0.3</v>
      </c>
      <c r="C37" s="13" t="s">
        <v>112</v>
      </c>
      <c r="D37" s="13"/>
      <c r="E37" s="13"/>
      <c r="F37" s="13"/>
      <c r="G37" s="13"/>
    </row>
    <row r="38" spans="4:7" ht="15">
      <c r="D38" s="13"/>
      <c r="E38" s="13"/>
      <c r="F38" s="13"/>
      <c r="G38" s="13"/>
    </row>
    <row r="39" spans="1:7" ht="15">
      <c r="A39" s="13" t="s">
        <v>232</v>
      </c>
      <c r="B39" s="13"/>
      <c r="C39" s="13"/>
      <c r="D39" s="13"/>
      <c r="E39" s="13"/>
      <c r="F39" s="13"/>
      <c r="G39" s="13"/>
    </row>
    <row r="40" spans="1:7" ht="16.5">
      <c r="A40" s="13" t="s">
        <v>233</v>
      </c>
      <c r="B40" s="13"/>
      <c r="C40" s="13"/>
      <c r="D40" s="13"/>
      <c r="E40" s="13"/>
      <c r="F40" s="13"/>
      <c r="G40" s="13"/>
    </row>
    <row r="41" spans="1:7" ht="15">
      <c r="A41" s="13"/>
      <c r="B41" s="13"/>
      <c r="C41" s="13"/>
      <c r="D41" s="13"/>
      <c r="E41" s="13"/>
      <c r="F41" s="13"/>
      <c r="G41" s="13"/>
    </row>
    <row r="42" spans="1:7" ht="15">
      <c r="A42" s="13" t="s">
        <v>220</v>
      </c>
      <c r="B42" s="13"/>
      <c r="C42" s="13"/>
      <c r="D42" s="13"/>
      <c r="F42" s="13"/>
      <c r="G42" s="13"/>
    </row>
    <row r="43" spans="1:7" ht="15">
      <c r="A43" s="13" t="s">
        <v>234</v>
      </c>
      <c r="B43" s="13"/>
      <c r="C43" s="13"/>
      <c r="D43" s="13"/>
      <c r="F43" s="13"/>
      <c r="G43" s="13"/>
    </row>
    <row r="44" spans="1:7" ht="16.5">
      <c r="A44" s="13" t="s">
        <v>235</v>
      </c>
      <c r="B44" s="13"/>
      <c r="C44" s="13"/>
      <c r="D44" s="13"/>
      <c r="F44" s="13"/>
      <c r="G44" s="13"/>
    </row>
    <row r="45" spans="1:7" ht="18">
      <c r="A45" s="13" t="s">
        <v>236</v>
      </c>
      <c r="B45" s="13" t="s">
        <v>237</v>
      </c>
      <c r="C45" s="13">
        <f>B36*B32/B14</f>
        <v>878.9999999999999</v>
      </c>
      <c r="D45" s="13" t="s">
        <v>161</v>
      </c>
      <c r="F45" s="13"/>
      <c r="G45" s="13"/>
    </row>
    <row r="46" spans="1:7" ht="15">
      <c r="A46" s="13"/>
      <c r="B46" s="13"/>
      <c r="C46" s="13"/>
      <c r="D46" s="13"/>
      <c r="E46" s="13"/>
      <c r="F46" s="13"/>
      <c r="G46" s="13"/>
    </row>
    <row r="47" spans="1:7" ht="15">
      <c r="A47" s="16" t="s">
        <v>238</v>
      </c>
      <c r="B47" s="13"/>
      <c r="C47" s="13"/>
      <c r="D47" s="13"/>
      <c r="E47" s="13"/>
      <c r="F47" s="13"/>
      <c r="G47" s="13"/>
    </row>
    <row r="48" ht="15">
      <c r="A48" s="13" t="s">
        <v>239</v>
      </c>
    </row>
    <row r="50" spans="1:5" ht="16.5">
      <c r="A50" s="13" t="s">
        <v>240</v>
      </c>
      <c r="D50" s="31">
        <f>B28*B16*(C45-D11)</f>
        <v>4115.842682926828</v>
      </c>
      <c r="E50" s="13" t="s">
        <v>73</v>
      </c>
    </row>
    <row r="52" ht="15">
      <c r="A52" s="16" t="s">
        <v>241</v>
      </c>
    </row>
    <row r="53" spans="1:4" ht="16.5">
      <c r="A53" s="13" t="s">
        <v>242</v>
      </c>
      <c r="C53" s="13">
        <f>B28*B15*(C45-D11)</f>
        <v>2936.37731707317</v>
      </c>
      <c r="D53" s="13" t="s">
        <v>73</v>
      </c>
    </row>
    <row r="55" ht="15">
      <c r="A55" s="16" t="s">
        <v>243</v>
      </c>
    </row>
    <row r="56" spans="1:2" ht="16.5">
      <c r="A56" s="13" t="s">
        <v>244</v>
      </c>
      <c r="B56" s="13"/>
    </row>
    <row r="57" spans="1:3" ht="16.5">
      <c r="A57" s="13" t="s">
        <v>245</v>
      </c>
      <c r="B57" s="30">
        <f>D50-C53</f>
        <v>1179.465365853658</v>
      </c>
      <c r="C57" s="13" t="s">
        <v>73</v>
      </c>
    </row>
    <row r="60" ht="15">
      <c r="A60" s="16"/>
    </row>
    <row r="61" spans="1:7" ht="15">
      <c r="A61" s="13"/>
      <c r="B61" s="13"/>
      <c r="C61" s="13"/>
      <c r="D61" s="13"/>
      <c r="E61" s="13"/>
      <c r="F61" s="13"/>
      <c r="G61" s="13"/>
    </row>
    <row r="62" spans="2:7" ht="15">
      <c r="B62" s="13"/>
      <c r="C62" s="13"/>
      <c r="D62" s="13"/>
      <c r="E62" s="13"/>
      <c r="F62" s="13"/>
      <c r="G62" s="13"/>
    </row>
    <row r="63" spans="1:7" ht="15">
      <c r="A63" s="13"/>
      <c r="B63" s="13"/>
      <c r="C63" s="13"/>
      <c r="D63" s="13"/>
      <c r="E63" s="13"/>
      <c r="F63" s="13"/>
      <c r="G63" s="13"/>
    </row>
    <row r="64" spans="1:7" ht="15">
      <c r="A64" s="13"/>
      <c r="B64" s="13"/>
      <c r="C64" s="13"/>
      <c r="D64" s="13"/>
      <c r="E64" s="13"/>
      <c r="F64" s="13"/>
      <c r="G64" s="13"/>
    </row>
    <row r="65" spans="4:7" ht="15">
      <c r="D65" s="13"/>
      <c r="E65" s="13"/>
      <c r="F65" s="13"/>
      <c r="G65" s="13"/>
    </row>
    <row r="66" spans="1:7" ht="15">
      <c r="A66" s="13"/>
      <c r="B66" s="13"/>
      <c r="C66" s="13"/>
      <c r="D66" s="13"/>
      <c r="E66" s="13"/>
      <c r="F66" s="13"/>
      <c r="G66" s="13"/>
    </row>
    <row r="67" spans="1:7" ht="15">
      <c r="A67" s="13"/>
      <c r="B67" s="13"/>
      <c r="C67" s="13"/>
      <c r="D67" s="13"/>
      <c r="E67" s="13"/>
      <c r="F67" s="13"/>
      <c r="G67" s="13"/>
    </row>
    <row r="68" spans="1:7" ht="15">
      <c r="A68" s="13"/>
      <c r="B68" s="13"/>
      <c r="C68" s="13"/>
      <c r="D68" s="13"/>
      <c r="F68" s="13"/>
      <c r="G68" s="13"/>
    </row>
    <row r="69" spans="1:7" ht="15">
      <c r="A69" s="13"/>
      <c r="B69" s="13"/>
      <c r="C69" s="13"/>
      <c r="D69" s="13"/>
      <c r="F69" s="13"/>
      <c r="G69" s="13"/>
    </row>
    <row r="70" spans="1:7" ht="15">
      <c r="A70" s="13"/>
      <c r="B70" s="13"/>
      <c r="C70" s="13"/>
      <c r="D70" s="13"/>
      <c r="F70" s="13"/>
      <c r="G70" s="13"/>
    </row>
    <row r="71" spans="1:7" ht="15">
      <c r="A71" s="15"/>
      <c r="B71" s="13"/>
      <c r="C71" s="13"/>
      <c r="D71" s="13"/>
      <c r="F71" s="13"/>
      <c r="G71" s="13"/>
    </row>
    <row r="72" spans="1:7" ht="15">
      <c r="A72" s="13"/>
      <c r="B72" s="13"/>
      <c r="C72" s="13"/>
      <c r="D72" s="13"/>
      <c r="E72" s="13"/>
      <c r="F72" s="13"/>
      <c r="G72" s="13"/>
    </row>
    <row r="73" spans="1:7" ht="15">
      <c r="A73" s="16"/>
      <c r="B73" s="13"/>
      <c r="C73" s="13"/>
      <c r="D73" s="13"/>
      <c r="E73" s="13"/>
      <c r="F73" s="13"/>
      <c r="G73" s="13"/>
    </row>
    <row r="74" ht="15">
      <c r="A74" s="13"/>
    </row>
    <row r="76" spans="1:5" ht="15">
      <c r="A76" s="13"/>
      <c r="D76" s="31"/>
      <c r="E76" s="13"/>
    </row>
    <row r="78" ht="15">
      <c r="A78" s="16"/>
    </row>
    <row r="79" ht="15">
      <c r="A79" s="13"/>
    </row>
    <row r="80" spans="1:4" ht="15">
      <c r="A80" s="13"/>
      <c r="C80" s="13"/>
      <c r="D80" s="13"/>
    </row>
    <row r="82" ht="15">
      <c r="A82" s="16"/>
    </row>
    <row r="83" spans="1:2" ht="15">
      <c r="A83" s="13"/>
      <c r="B83" s="13"/>
    </row>
    <row r="84" spans="1:3" ht="15">
      <c r="A84" s="13"/>
      <c r="B84" s="30"/>
      <c r="C84" s="1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28">
      <selection activeCell="B34" sqref="B34"/>
    </sheetView>
  </sheetViews>
  <sheetFormatPr defaultColWidth="9.140625" defaultRowHeight="15"/>
  <cols>
    <col min="1" max="1" width="13.57421875" style="0" customWidth="1"/>
    <col min="3" max="3" width="14.28125" style="0" customWidth="1"/>
    <col min="4" max="4" width="13.140625" style="0" bestFit="1" customWidth="1"/>
  </cols>
  <sheetData>
    <row r="1" spans="1:14" ht="15.75">
      <c r="A1" s="21" t="s">
        <v>206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0.25">
      <c r="A2" s="10" t="s">
        <v>246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.75">
      <c r="A3" s="10" t="s">
        <v>247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8.75">
      <c r="A4" s="10" t="s">
        <v>248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0" t="s">
        <v>249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10" t="s">
        <v>250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>
      <c r="A7" s="10" t="s">
        <v>251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>
      <c r="A9" s="10" t="s">
        <v>252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6.5">
      <c r="A10" s="13" t="s">
        <v>213</v>
      </c>
      <c r="B10" s="10">
        <v>15</v>
      </c>
      <c r="C10" s="10" t="s">
        <v>113</v>
      </c>
      <c r="D10" s="10">
        <f>B10+273</f>
        <v>288</v>
      </c>
      <c r="E10" s="10" t="s">
        <v>161</v>
      </c>
      <c r="G10" s="10"/>
      <c r="H10" s="10"/>
      <c r="I10" s="10"/>
      <c r="J10" s="10"/>
      <c r="K10" s="10"/>
      <c r="L10" s="10"/>
      <c r="M10" s="10"/>
      <c r="N10" s="10"/>
    </row>
    <row r="11" spans="1:14" ht="16.5">
      <c r="A11" s="13" t="s">
        <v>212</v>
      </c>
      <c r="B11" s="10">
        <v>40</v>
      </c>
      <c r="C11" s="10" t="s">
        <v>151</v>
      </c>
      <c r="D11" s="39">
        <f>B11*101325</f>
        <v>4053000</v>
      </c>
      <c r="E11" s="10" t="s">
        <v>26</v>
      </c>
      <c r="G11" s="10"/>
      <c r="H11" s="10"/>
      <c r="I11" s="10"/>
      <c r="J11" s="10"/>
      <c r="K11" s="10"/>
      <c r="L11" s="10"/>
      <c r="M11" s="10"/>
      <c r="N11" s="10"/>
    </row>
    <row r="12" spans="1:14" ht="16.5">
      <c r="A12" s="13" t="s">
        <v>253</v>
      </c>
      <c r="B12" s="10">
        <v>70</v>
      </c>
      <c r="C12" s="10" t="s">
        <v>151</v>
      </c>
      <c r="D12" s="39">
        <f>B12*101325</f>
        <v>7092750</v>
      </c>
      <c r="E12" s="10" t="s">
        <v>26</v>
      </c>
      <c r="F12" s="13"/>
      <c r="G12" s="10"/>
      <c r="H12" s="10"/>
      <c r="I12" s="10"/>
      <c r="J12" s="10"/>
      <c r="K12" s="10"/>
      <c r="L12" s="10"/>
      <c r="M12" s="10"/>
      <c r="N12" s="10"/>
    </row>
    <row r="13" spans="1:14" ht="20.25">
      <c r="A13" s="10" t="s">
        <v>254</v>
      </c>
      <c r="B13" s="20">
        <v>0.3</v>
      </c>
      <c r="C13" s="10" t="s">
        <v>255</v>
      </c>
      <c r="D13" s="10"/>
      <c r="E13" s="10"/>
      <c r="F13" s="13"/>
      <c r="G13" s="10"/>
      <c r="H13" s="10"/>
      <c r="I13" s="10"/>
      <c r="J13" s="10"/>
      <c r="K13" s="10"/>
      <c r="L13" s="10"/>
      <c r="M13" s="10"/>
      <c r="N13" s="10"/>
    </row>
    <row r="14" spans="1:14" ht="15.75">
      <c r="A14" s="10" t="s">
        <v>145</v>
      </c>
      <c r="B14" s="10">
        <v>288</v>
      </c>
      <c r="C14" s="10" t="s">
        <v>146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8.75">
      <c r="A15" s="10" t="s">
        <v>256</v>
      </c>
      <c r="B15" s="10">
        <f>5/2*B14</f>
        <v>720</v>
      </c>
      <c r="C15" s="10" t="s">
        <v>146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75">
      <c r="A17" s="21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>
      <c r="A18" s="10" t="s">
        <v>257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75">
      <c r="A19" s="10" t="s">
        <v>258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75">
      <c r="A20" s="10" t="s">
        <v>81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>
      <c r="A22" s="10" t="s">
        <v>259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ht="17.25">
      <c r="A23" s="23" t="s">
        <v>260</v>
      </c>
    </row>
    <row r="24" spans="2:5" ht="15.75">
      <c r="B24" s="18"/>
      <c r="C24" s="18"/>
      <c r="D24" s="18"/>
      <c r="E24" s="18"/>
    </row>
    <row r="25" spans="1:5" ht="17.25">
      <c r="A25" s="10" t="s">
        <v>261</v>
      </c>
      <c r="B25" s="18"/>
      <c r="C25" s="18"/>
      <c r="D25" s="18"/>
      <c r="E25" s="18"/>
    </row>
    <row r="26" spans="1:6" ht="15.75">
      <c r="A26" s="10" t="s">
        <v>262</v>
      </c>
      <c r="F26" s="38"/>
    </row>
    <row r="27" spans="1:4" ht="15">
      <c r="A27" s="13"/>
      <c r="B27" s="13"/>
      <c r="C27" s="13"/>
      <c r="D27" s="13"/>
    </row>
    <row r="28" spans="1:4" ht="15">
      <c r="A28" s="13" t="s">
        <v>220</v>
      </c>
      <c r="B28" s="13"/>
      <c r="C28" s="13"/>
      <c r="D28" s="13"/>
    </row>
    <row r="29" spans="1:4" ht="15">
      <c r="A29" s="13" t="s">
        <v>221</v>
      </c>
      <c r="B29" s="13"/>
      <c r="C29" s="13"/>
      <c r="D29" s="13"/>
    </row>
    <row r="30" spans="1:4" ht="16.5">
      <c r="A30" s="13" t="s">
        <v>222</v>
      </c>
      <c r="B30" s="13"/>
      <c r="C30" s="13"/>
      <c r="D30" s="13"/>
    </row>
    <row r="31" spans="1:4" ht="18.75">
      <c r="A31" s="13" t="s">
        <v>223</v>
      </c>
      <c r="B31" s="13" t="s">
        <v>224</v>
      </c>
      <c r="C31" s="32">
        <f>B14*D10/D11</f>
        <v>0.020464840858623243</v>
      </c>
      <c r="D31" s="13" t="s">
        <v>225</v>
      </c>
    </row>
    <row r="33" ht="15">
      <c r="A33" s="13" t="s">
        <v>263</v>
      </c>
    </row>
    <row r="34" spans="1:3" ht="16.5">
      <c r="A34" s="13" t="s">
        <v>227</v>
      </c>
      <c r="B34" s="30">
        <f>B13/C31</f>
        <v>14.659288194444443</v>
      </c>
      <c r="C34" s="13" t="s">
        <v>124</v>
      </c>
    </row>
    <row r="35" spans="1:10" ht="15">
      <c r="A35" s="13"/>
      <c r="H35" s="13"/>
      <c r="I35" s="13"/>
      <c r="J35" s="13"/>
    </row>
    <row r="36" spans="1:10" ht="16.5">
      <c r="A36" s="13" t="s">
        <v>264</v>
      </c>
      <c r="G36" s="13"/>
      <c r="H36" s="13"/>
      <c r="I36" s="13"/>
      <c r="J36" s="13"/>
    </row>
    <row r="37" spans="1:10" ht="18.75">
      <c r="A37" s="10" t="s">
        <v>163</v>
      </c>
      <c r="B37" s="18"/>
      <c r="C37" s="10" t="s">
        <v>265</v>
      </c>
      <c r="D37" s="37">
        <f>D12*B13/(B14*B34)</f>
        <v>504</v>
      </c>
      <c r="E37" s="37" t="s">
        <v>161</v>
      </c>
      <c r="F37" s="37"/>
      <c r="G37" s="37"/>
      <c r="H37" s="13"/>
      <c r="I37" s="13"/>
      <c r="J37" s="13"/>
    </row>
    <row r="38" spans="1:10" ht="15.75">
      <c r="A38" s="10"/>
      <c r="D38" s="37"/>
      <c r="E38" s="37"/>
      <c r="F38" s="37"/>
      <c r="G38" s="37"/>
      <c r="H38" s="13"/>
      <c r="I38" s="13"/>
      <c r="J38" s="13"/>
    </row>
    <row r="39" spans="1:10" ht="17.25">
      <c r="A39" s="23" t="s">
        <v>260</v>
      </c>
      <c r="D39" s="37">
        <f>B34*B15*(D37-D10)</f>
        <v>2279812.4999999995</v>
      </c>
      <c r="E39" s="37" t="s">
        <v>10</v>
      </c>
      <c r="F39" s="37">
        <f>D39/1000</f>
        <v>2279.8124999999995</v>
      </c>
      <c r="G39" s="37" t="s">
        <v>73</v>
      </c>
      <c r="H39" s="13"/>
      <c r="I39" s="13"/>
      <c r="J39" s="13"/>
    </row>
    <row r="40" spans="7:11" ht="15">
      <c r="G40" s="13"/>
      <c r="H40" s="13"/>
      <c r="I40" s="13"/>
      <c r="J40" s="13"/>
      <c r="K40" s="13"/>
    </row>
    <row r="42" spans="1:3" ht="15">
      <c r="A42" s="13" t="s">
        <v>266</v>
      </c>
      <c r="B42" s="30"/>
      <c r="C42" s="30"/>
    </row>
    <row r="43" spans="1:5" ht="17.25">
      <c r="A43" s="23" t="s">
        <v>267</v>
      </c>
      <c r="D43" s="37">
        <f>F39</f>
        <v>2279.8124999999995</v>
      </c>
      <c r="E43" s="37" t="s">
        <v>73</v>
      </c>
    </row>
    <row r="45" spans="1:7" ht="15">
      <c r="A45" s="13"/>
      <c r="B45" s="13"/>
      <c r="C45" s="13"/>
      <c r="D45" s="13"/>
      <c r="E45" s="13"/>
      <c r="F45" s="13"/>
      <c r="G45" s="13"/>
    </row>
    <row r="46" spans="1:7" ht="15">
      <c r="A46" s="13"/>
      <c r="B46" s="13"/>
      <c r="C46" s="13"/>
      <c r="D46" s="13"/>
      <c r="E46" s="13"/>
      <c r="F46" s="13"/>
      <c r="G46" s="13"/>
    </row>
    <row r="47" spans="1:7" ht="15.75">
      <c r="A47" s="23"/>
      <c r="B47" s="33"/>
      <c r="C47" s="13"/>
      <c r="D47" s="13"/>
      <c r="E47" s="13"/>
      <c r="F47" s="13"/>
      <c r="G47" s="13"/>
    </row>
    <row r="48" spans="1:7" ht="15">
      <c r="A48" s="13"/>
      <c r="B48" s="13"/>
      <c r="C48" s="13"/>
      <c r="D48" s="13"/>
      <c r="E48" s="13"/>
      <c r="F48" s="13"/>
      <c r="G48" s="13"/>
    </row>
    <row r="49" spans="1:7" ht="15">
      <c r="A49" s="13"/>
      <c r="B49" s="13"/>
      <c r="C49" s="13"/>
      <c r="D49" s="13"/>
      <c r="E49" s="13"/>
      <c r="F49" s="13"/>
      <c r="G49" s="13"/>
    </row>
    <row r="50" spans="4:7" ht="15">
      <c r="D50" s="13"/>
      <c r="E50" s="13"/>
      <c r="F50" s="13"/>
      <c r="G50" s="13"/>
    </row>
    <row r="51" spans="1:7" ht="15">
      <c r="A51" s="13"/>
      <c r="B51" s="13"/>
      <c r="C51" s="13"/>
      <c r="D51" s="13"/>
      <c r="E51" s="13"/>
      <c r="F51" s="13"/>
      <c r="G51" s="13"/>
    </row>
    <row r="52" spans="1:7" ht="15">
      <c r="A52" s="13"/>
      <c r="B52" s="13"/>
      <c r="C52" s="13"/>
      <c r="D52" s="13"/>
      <c r="E52" s="13"/>
      <c r="F52" s="13"/>
      <c r="G52" s="13"/>
    </row>
    <row r="53" spans="1:7" ht="15">
      <c r="A53" s="13"/>
      <c r="B53" s="13"/>
      <c r="C53" s="13"/>
      <c r="D53" s="13"/>
      <c r="E53" s="13"/>
      <c r="F53" s="13"/>
      <c r="G53" s="13"/>
    </row>
    <row r="54" spans="1:7" ht="15">
      <c r="A54" s="13"/>
      <c r="B54" s="13"/>
      <c r="C54" s="13"/>
      <c r="D54" s="13"/>
      <c r="F54" s="13"/>
      <c r="G54" s="13"/>
    </row>
    <row r="55" spans="1:7" ht="15">
      <c r="A55" s="13"/>
      <c r="B55" s="13"/>
      <c r="C55" s="13"/>
      <c r="D55" s="13"/>
      <c r="F55" s="13"/>
      <c r="G55" s="13"/>
    </row>
    <row r="56" spans="1:7" ht="15">
      <c r="A56" s="13"/>
      <c r="B56" s="13"/>
      <c r="C56" s="13"/>
      <c r="D56" s="13"/>
      <c r="F56" s="13"/>
      <c r="G56" s="13"/>
    </row>
    <row r="57" spans="1:7" ht="15">
      <c r="A57" s="13"/>
      <c r="B57" s="13"/>
      <c r="C57" s="13"/>
      <c r="D57" s="13"/>
      <c r="F57" s="13"/>
      <c r="G57" s="13"/>
    </row>
    <row r="58" spans="1:7" ht="15">
      <c r="A58" s="13"/>
      <c r="B58" s="13"/>
      <c r="C58" s="13"/>
      <c r="D58" s="13"/>
      <c r="E58" s="13"/>
      <c r="F58" s="13"/>
      <c r="G58" s="13"/>
    </row>
    <row r="59" spans="1:7" ht="15">
      <c r="A59" s="16"/>
      <c r="B59" s="13"/>
      <c r="C59" s="13"/>
      <c r="D59" s="13"/>
      <c r="E59" s="13"/>
      <c r="F59" s="13"/>
      <c r="G59" s="13"/>
    </row>
    <row r="60" ht="15">
      <c r="A60" s="13"/>
    </row>
    <row r="62" spans="1:5" ht="15">
      <c r="A62" s="13"/>
      <c r="D62" s="31"/>
      <c r="E62" s="13"/>
    </row>
    <row r="64" ht="15">
      <c r="A64" s="16"/>
    </row>
    <row r="65" spans="1:4" ht="15">
      <c r="A65" s="13"/>
      <c r="C65" s="13"/>
      <c r="D65" s="13"/>
    </row>
    <row r="67" ht="15">
      <c r="A67" s="16"/>
    </row>
    <row r="68" spans="1:2" ht="15">
      <c r="A68" s="13"/>
      <c r="B68" s="13"/>
    </row>
    <row r="69" spans="1:3" ht="15">
      <c r="A69" s="13"/>
      <c r="B69" s="30"/>
      <c r="C69" s="13"/>
    </row>
    <row r="72" ht="15">
      <c r="A72" s="16"/>
    </row>
    <row r="73" spans="1:7" ht="15">
      <c r="A73" s="13"/>
      <c r="B73" s="13"/>
      <c r="C73" s="13"/>
      <c r="D73" s="13"/>
      <c r="E73" s="13"/>
      <c r="F73" s="13"/>
      <c r="G73" s="13"/>
    </row>
    <row r="74" spans="2:7" ht="15">
      <c r="B74" s="13"/>
      <c r="C74" s="13"/>
      <c r="D74" s="13"/>
      <c r="E74" s="13"/>
      <c r="F74" s="13"/>
      <c r="G74" s="13"/>
    </row>
    <row r="75" spans="1:7" ht="15">
      <c r="A75" s="13"/>
      <c r="B75" s="13"/>
      <c r="C75" s="13"/>
      <c r="D75" s="13"/>
      <c r="E75" s="13"/>
      <c r="F75" s="13"/>
      <c r="G75" s="13"/>
    </row>
    <row r="76" spans="1:7" ht="15">
      <c r="A76" s="13"/>
      <c r="B76" s="13"/>
      <c r="C76" s="13"/>
      <c r="D76" s="13"/>
      <c r="E76" s="13"/>
      <c r="F76" s="13"/>
      <c r="G76" s="13"/>
    </row>
    <row r="77" spans="4:7" ht="15">
      <c r="D77" s="13"/>
      <c r="E77" s="13"/>
      <c r="F77" s="13"/>
      <c r="G77" s="13"/>
    </row>
    <row r="78" spans="1:7" ht="15">
      <c r="A78" s="13"/>
      <c r="B78" s="13"/>
      <c r="C78" s="13"/>
      <c r="D78" s="13"/>
      <c r="E78" s="13"/>
      <c r="F78" s="13"/>
      <c r="G78" s="13"/>
    </row>
    <row r="79" spans="1:7" ht="15">
      <c r="A79" s="13"/>
      <c r="B79" s="13"/>
      <c r="C79" s="13"/>
      <c r="D79" s="13"/>
      <c r="E79" s="13"/>
      <c r="F79" s="13"/>
      <c r="G79" s="13"/>
    </row>
    <row r="80" spans="1:7" ht="15">
      <c r="A80" s="13"/>
      <c r="B80" s="13"/>
      <c r="C80" s="13"/>
      <c r="D80" s="13"/>
      <c r="F80" s="13"/>
      <c r="G80" s="13"/>
    </row>
    <row r="81" spans="1:7" ht="15">
      <c r="A81" s="13"/>
      <c r="B81" s="13"/>
      <c r="C81" s="13"/>
      <c r="D81" s="13"/>
      <c r="F81" s="13"/>
      <c r="G81" s="13"/>
    </row>
    <row r="82" spans="1:7" ht="15">
      <c r="A82" s="13"/>
      <c r="B82" s="13"/>
      <c r="C82" s="13"/>
      <c r="D82" s="13"/>
      <c r="F82" s="13"/>
      <c r="G82" s="13"/>
    </row>
    <row r="83" spans="1:7" ht="15">
      <c r="A83" s="15"/>
      <c r="B83" s="13"/>
      <c r="C83" s="13"/>
      <c r="D83" s="13"/>
      <c r="F83" s="13"/>
      <c r="G83" s="13"/>
    </row>
    <row r="84" spans="1:7" ht="15">
      <c r="A84" s="13"/>
      <c r="B84" s="13"/>
      <c r="C84" s="13"/>
      <c r="D84" s="13"/>
      <c r="E84" s="13"/>
      <c r="F84" s="13"/>
      <c r="G84" s="13"/>
    </row>
    <row r="85" spans="1:7" ht="15">
      <c r="A85" s="16"/>
      <c r="B85" s="13"/>
      <c r="C85" s="13"/>
      <c r="D85" s="13"/>
      <c r="E85" s="13"/>
      <c r="F85" s="13"/>
      <c r="G85" s="13"/>
    </row>
    <row r="86" ht="15">
      <c r="A86" s="13"/>
    </row>
    <row r="88" spans="1:5" ht="15">
      <c r="A88" s="13"/>
      <c r="D88" s="31"/>
      <c r="E88" s="13"/>
    </row>
    <row r="90" ht="15">
      <c r="A90" s="16"/>
    </row>
    <row r="91" ht="15">
      <c r="A91" s="13"/>
    </row>
    <row r="92" spans="1:4" ht="15">
      <c r="A92" s="13"/>
      <c r="C92" s="13"/>
      <c r="D92" s="13"/>
    </row>
    <row r="94" ht="15">
      <c r="A94" s="16"/>
    </row>
    <row r="95" spans="1:2" ht="15">
      <c r="A95" s="13"/>
      <c r="B95" s="13"/>
    </row>
    <row r="96" spans="1:3" ht="15">
      <c r="A96" s="13"/>
      <c r="B96" s="30"/>
      <c r="C96" s="1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2018-11-10T14:03:52Z</dcterms:created>
  <dcterms:modified xsi:type="dcterms:W3CDTF">2021-10-24T12:52:23Z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0x0101006BED8CEFC0F021428098CDFF577FBE99</vt:lpwstr>
  </property>
</Properties>
</file>